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B5DE5377-F487-4D99-97BD-F06C917C6746}" xr6:coauthVersionLast="47" xr6:coauthVersionMax="47" xr10:uidLastSave="{00000000-0000-0000-0000-000000000000}"/>
  <bookViews>
    <workbookView xWindow="-120" yWindow="-120" windowWidth="29040" windowHeight="15840" tabRatio="923" activeTab="2" xr2:uid="{00000000-000D-0000-FFFF-FFFF00000000}"/>
  </bookViews>
  <sheets>
    <sheet name="тарифна сітка" sheetId="33" r:id="rId1"/>
    <sheet name="Саврань І" sheetId="4" r:id="rId2"/>
    <sheet name="Саврань ІІ" sheetId="19" r:id="rId3"/>
  </sheets>
  <definedNames>
    <definedName name="_xlnm.Print_Area" localSheetId="2">'Саврань ІІ'!$A$1:$Q$46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9" l="1"/>
  <c r="P1" i="4" l="1"/>
  <c r="A31" i="19" l="1"/>
  <c r="A32" i="19"/>
  <c r="A16" i="19"/>
  <c r="A17" i="19"/>
  <c r="A18" i="19"/>
  <c r="A19" i="19"/>
  <c r="A23" i="19"/>
  <c r="A24" i="19"/>
  <c r="A25" i="19"/>
  <c r="A26" i="19"/>
  <c r="A27" i="19"/>
  <c r="A28" i="19"/>
  <c r="A29" i="19"/>
  <c r="A30" i="19"/>
  <c r="A10" i="19"/>
  <c r="A11" i="19"/>
  <c r="A12" i="19"/>
  <c r="A13" i="19"/>
  <c r="A14" i="19"/>
  <c r="A9" i="19"/>
  <c r="D11" i="19"/>
  <c r="D12" i="19"/>
  <c r="D13" i="19"/>
  <c r="D14" i="19"/>
  <c r="D15" i="19"/>
  <c r="D16" i="19"/>
  <c r="D17" i="19"/>
  <c r="D18" i="19"/>
  <c r="D19" i="19"/>
  <c r="D24" i="19"/>
  <c r="D25" i="19"/>
  <c r="D28" i="19"/>
  <c r="D29" i="19"/>
  <c r="D30" i="19"/>
  <c r="D31" i="19"/>
  <c r="D32" i="19"/>
  <c r="E39" i="4"/>
  <c r="S3" i="4" l="1"/>
  <c r="S2" i="4"/>
  <c r="R2" i="4"/>
  <c r="E18" i="33" l="1"/>
  <c r="E17" i="33"/>
  <c r="F17" i="33" s="1"/>
  <c r="E16" i="33"/>
  <c r="F16" i="33" s="1"/>
  <c r="E15" i="33"/>
  <c r="F15" i="33" s="1"/>
  <c r="E14" i="33"/>
  <c r="F14" i="33" s="1"/>
  <c r="E13" i="33"/>
  <c r="F13" i="33" s="1"/>
  <c r="E12" i="33"/>
  <c r="F12" i="33" s="1"/>
  <c r="E11" i="33"/>
  <c r="F11" i="33" s="1"/>
  <c r="E10" i="33"/>
  <c r="F10" i="33" s="1"/>
  <c r="E9" i="33"/>
  <c r="E8" i="33"/>
  <c r="E7" i="33"/>
  <c r="B21" i="19" s="1"/>
  <c r="E6" i="33"/>
  <c r="E5" i="33"/>
  <c r="E4" i="33"/>
  <c r="E3" i="33"/>
  <c r="C18" i="33"/>
  <c r="C17" i="33"/>
  <c r="D17" i="33" s="1"/>
  <c r="C16" i="33"/>
  <c r="D16" i="33" s="1"/>
  <c r="C15" i="33"/>
  <c r="D15" i="33" s="1"/>
  <c r="C14" i="33"/>
  <c r="D14" i="33" s="1"/>
  <c r="C13" i="33"/>
  <c r="D13" i="33" s="1"/>
  <c r="C12" i="33"/>
  <c r="D12" i="33" s="1"/>
  <c r="C11" i="33"/>
  <c r="D11" i="33" s="1"/>
  <c r="C10" i="33"/>
  <c r="D10" i="33" s="1"/>
  <c r="C9" i="33"/>
  <c r="C8" i="33"/>
  <c r="C7" i="33"/>
  <c r="C6" i="33"/>
  <c r="C5" i="33"/>
  <c r="C4" i="33"/>
  <c r="C3" i="33"/>
  <c r="B22" i="19" l="1"/>
  <c r="B20" i="19"/>
  <c r="B29" i="19"/>
  <c r="B14" i="19"/>
  <c r="B31" i="19"/>
  <c r="B11" i="19"/>
  <c r="B10" i="19"/>
  <c r="B37" i="4"/>
  <c r="B8" i="4"/>
  <c r="B4" i="4"/>
  <c r="F18" i="33"/>
  <c r="B9" i="19"/>
  <c r="B13" i="19"/>
  <c r="B15" i="19"/>
  <c r="B16" i="19"/>
  <c r="B17" i="19"/>
  <c r="B19" i="19"/>
  <c r="B23" i="19"/>
  <c r="B26" i="19"/>
  <c r="B28" i="19"/>
  <c r="B12" i="19"/>
  <c r="B18" i="19"/>
  <c r="B24" i="19"/>
  <c r="B25" i="19"/>
  <c r="B27" i="19"/>
  <c r="B30" i="19"/>
  <c r="B32" i="19"/>
  <c r="B35" i="4"/>
  <c r="B13" i="4"/>
  <c r="B33" i="4"/>
  <c r="B3" i="4"/>
  <c r="B5" i="4"/>
  <c r="B26" i="4"/>
  <c r="B10" i="4"/>
  <c r="B14" i="4"/>
  <c r="B32" i="4"/>
  <c r="B7" i="4"/>
  <c r="B12" i="4"/>
  <c r="B28" i="4"/>
  <c r="B38" i="4"/>
  <c r="B16" i="4"/>
  <c r="B18" i="4"/>
  <c r="B20" i="4"/>
  <c r="B22" i="4"/>
  <c r="B24" i="4"/>
  <c r="B30" i="4"/>
  <c r="B34" i="4"/>
  <c r="B36" i="4"/>
  <c r="D18" i="33"/>
  <c r="B6" i="4"/>
  <c r="B9" i="4"/>
  <c r="B11" i="4"/>
  <c r="B15" i="4"/>
  <c r="B17" i="4"/>
  <c r="B19" i="4"/>
  <c r="B21" i="4"/>
  <c r="B23" i="4"/>
  <c r="B25" i="4"/>
  <c r="B27" i="4"/>
  <c r="B29" i="4"/>
  <c r="B31" i="4"/>
  <c r="E33" i="19"/>
  <c r="F26" i="19" l="1"/>
  <c r="G26" i="19" s="1"/>
  <c r="F32" i="19"/>
  <c r="F31" i="19"/>
  <c r="M30" i="19"/>
  <c r="L30" i="19"/>
  <c r="L33" i="19" s="1"/>
  <c r="F30" i="19"/>
  <c r="I30" i="19" s="1"/>
  <c r="F29" i="19"/>
  <c r="F28" i="19"/>
  <c r="G28" i="19" s="1"/>
  <c r="K27" i="19"/>
  <c r="F27" i="19"/>
  <c r="K26" i="19"/>
  <c r="F25" i="19"/>
  <c r="F24" i="19"/>
  <c r="G24" i="19" s="1"/>
  <c r="F23" i="19"/>
  <c r="G23" i="19" s="1"/>
  <c r="F22" i="19"/>
  <c r="F21" i="19"/>
  <c r="F20" i="19"/>
  <c r="M20" i="19" s="1"/>
  <c r="F19" i="19"/>
  <c r="F18" i="19"/>
  <c r="F17" i="19"/>
  <c r="H17" i="19" s="1"/>
  <c r="F16" i="19"/>
  <c r="G16" i="19" s="1"/>
  <c r="F15" i="19"/>
  <c r="F14" i="19"/>
  <c r="G14" i="19" s="1"/>
  <c r="F13" i="19"/>
  <c r="G13" i="19" s="1"/>
  <c r="F12" i="19"/>
  <c r="G12" i="19" s="1"/>
  <c r="F11" i="19"/>
  <c r="J11" i="19" s="1"/>
  <c r="F10" i="19"/>
  <c r="F9" i="19"/>
  <c r="O38" i="4"/>
  <c r="P38" i="4" s="1"/>
  <c r="L39" i="4"/>
  <c r="M39" i="4"/>
  <c r="O24" i="4"/>
  <c r="P24" i="4" s="1"/>
  <c r="O20" i="4"/>
  <c r="P20" i="4" s="1"/>
  <c r="O15" i="4"/>
  <c r="P15" i="4" s="1"/>
  <c r="O11" i="4"/>
  <c r="P11" i="4" s="1"/>
  <c r="O9" i="4"/>
  <c r="P9" i="4" s="1"/>
  <c r="O8" i="4"/>
  <c r="P8" i="4" s="1"/>
  <c r="O6" i="4"/>
  <c r="P6" i="4" s="1"/>
  <c r="G19" i="19" l="1"/>
  <c r="H19" i="19"/>
  <c r="I22" i="19"/>
  <c r="M22" i="19"/>
  <c r="M33" i="19" s="1"/>
  <c r="G22" i="19"/>
  <c r="N22" i="19"/>
  <c r="I20" i="19"/>
  <c r="G20" i="19"/>
  <c r="O20" i="19" s="1"/>
  <c r="N20" i="19"/>
  <c r="H18" i="19"/>
  <c r="G27" i="19"/>
  <c r="H27" i="19"/>
  <c r="H26" i="19"/>
  <c r="O10" i="4"/>
  <c r="P10" i="4" s="1"/>
  <c r="O13" i="4"/>
  <c r="P13" i="4" s="1"/>
  <c r="O37" i="4"/>
  <c r="P37" i="4" s="1"/>
  <c r="O22" i="4"/>
  <c r="P22" i="4" s="1"/>
  <c r="O12" i="4"/>
  <c r="P12" i="4" s="1"/>
  <c r="Q6" i="4"/>
  <c r="Q8" i="4"/>
  <c r="Q11" i="4"/>
  <c r="G21" i="19"/>
  <c r="O21" i="19" s="1"/>
  <c r="P21" i="19" s="1"/>
  <c r="O24" i="19"/>
  <c r="P24" i="19" s="1"/>
  <c r="K33" i="19"/>
  <c r="O14" i="19"/>
  <c r="P14" i="19" s="1"/>
  <c r="G32" i="19"/>
  <c r="O32" i="19" s="1"/>
  <c r="P32" i="19" s="1"/>
  <c r="O31" i="19"/>
  <c r="P31" i="19" s="1"/>
  <c r="G29" i="19"/>
  <c r="O29" i="19" s="1"/>
  <c r="P29" i="19" s="1"/>
  <c r="O28" i="19"/>
  <c r="P28" i="19" s="1"/>
  <c r="O23" i="19"/>
  <c r="P23" i="19" s="1"/>
  <c r="F33" i="19"/>
  <c r="G17" i="19"/>
  <c r="O17" i="19" s="1"/>
  <c r="P17" i="19" s="1"/>
  <c r="O16" i="19"/>
  <c r="P16" i="19" s="1"/>
  <c r="O15" i="19"/>
  <c r="P15" i="19" s="1"/>
  <c r="O13" i="19"/>
  <c r="P13" i="19" s="1"/>
  <c r="O12" i="19"/>
  <c r="P12" i="19" s="1"/>
  <c r="G10" i="19"/>
  <c r="O10" i="19" s="1"/>
  <c r="P10" i="19" s="1"/>
  <c r="K39" i="4"/>
  <c r="K40" i="4" s="1"/>
  <c r="K41" i="4" s="1"/>
  <c r="L40" i="4"/>
  <c r="L41" i="4" s="1"/>
  <c r="O35" i="4"/>
  <c r="P35" i="4" s="1"/>
  <c r="M40" i="4"/>
  <c r="M41" i="4" s="1"/>
  <c r="O26" i="4"/>
  <c r="P26" i="4" s="1"/>
  <c r="N39" i="4"/>
  <c r="F39" i="4"/>
  <c r="G9" i="19"/>
  <c r="J33" i="19"/>
  <c r="G11" i="19"/>
  <c r="G18" i="19"/>
  <c r="G25" i="19"/>
  <c r="O25" i="19" s="1"/>
  <c r="P25" i="19" s="1"/>
  <c r="G30" i="19"/>
  <c r="J39" i="4"/>
  <c r="O7" i="4"/>
  <c r="P7" i="4" s="1"/>
  <c r="O21" i="4"/>
  <c r="P21" i="4" s="1"/>
  <c r="O25" i="4"/>
  <c r="P25" i="4" s="1"/>
  <c r="O34" i="4"/>
  <c r="P34" i="4" s="1"/>
  <c r="O16" i="4"/>
  <c r="P16" i="4" s="1"/>
  <c r="O23" i="4"/>
  <c r="P23" i="4" s="1"/>
  <c r="O14" i="4"/>
  <c r="P14" i="4" s="1"/>
  <c r="O17" i="4"/>
  <c r="P17" i="4" s="1"/>
  <c r="O18" i="4"/>
  <c r="P18" i="4" s="1"/>
  <c r="O19" i="4"/>
  <c r="P19" i="4" s="1"/>
  <c r="O36" i="4"/>
  <c r="P36" i="4" s="1"/>
  <c r="O19" i="19" l="1"/>
  <c r="P19" i="19" s="1"/>
  <c r="O18" i="19"/>
  <c r="P18" i="19" s="1"/>
  <c r="P20" i="19"/>
  <c r="O22" i="19"/>
  <c r="P22" i="19" s="1"/>
  <c r="N33" i="19"/>
  <c r="O27" i="19"/>
  <c r="P27" i="19" s="1"/>
  <c r="O31" i="4"/>
  <c r="P31" i="4" s="1"/>
  <c r="O30" i="4"/>
  <c r="P30" i="4" s="1"/>
  <c r="O5" i="4"/>
  <c r="P5" i="4" s="1"/>
  <c r="O33" i="4"/>
  <c r="O27" i="4"/>
  <c r="O28" i="4"/>
  <c r="O32" i="4"/>
  <c r="O29" i="4"/>
  <c r="P29" i="4" s="1"/>
  <c r="N40" i="4"/>
  <c r="N41" i="4" s="1"/>
  <c r="I33" i="19"/>
  <c r="H33" i="19"/>
  <c r="G33" i="19"/>
  <c r="O9" i="19"/>
  <c r="P9" i="19" s="1"/>
  <c r="I39" i="4"/>
  <c r="I40" i="4" s="1"/>
  <c r="I41" i="4" s="1"/>
  <c r="H39" i="4"/>
  <c r="J40" i="4"/>
  <c r="J41" i="4" s="1"/>
  <c r="G39" i="4"/>
  <c r="O3" i="4"/>
  <c r="P3" i="4" s="1"/>
  <c r="O30" i="19"/>
  <c r="P30" i="19" s="1"/>
  <c r="O26" i="19"/>
  <c r="P26" i="19" s="1"/>
  <c r="O11" i="19"/>
  <c r="P11" i="19" s="1"/>
  <c r="O4" i="4"/>
  <c r="P4" i="4" s="1"/>
  <c r="F40" i="4"/>
  <c r="F41" i="4" s="1"/>
  <c r="Q32" i="4" l="1"/>
  <c r="P32" i="4"/>
  <c r="Q33" i="4"/>
  <c r="P33" i="4"/>
  <c r="Q27" i="4"/>
  <c r="P27" i="4"/>
  <c r="Q28" i="4"/>
  <c r="Q34" i="4" s="1"/>
  <c r="Q39" i="4" s="1"/>
  <c r="P28" i="4"/>
  <c r="O33" i="19"/>
  <c r="O39" i="4"/>
  <c r="R39" i="4" s="1"/>
  <c r="H40" i="4"/>
  <c r="H41" i="4" s="1"/>
  <c r="G40" i="4"/>
  <c r="G41" i="4" s="1"/>
  <c r="P33" i="19" l="1"/>
  <c r="O34" i="19"/>
  <c r="P39" i="4"/>
  <c r="O40" i="4"/>
  <c r="O41" i="4" s="1"/>
  <c r="P34" i="19" l="1"/>
  <c r="P42" i="19" s="1"/>
  <c r="P41" i="19"/>
  <c r="P40" i="4"/>
  <c r="Q40" i="4" s="1"/>
  <c r="Q41" i="4" s="1"/>
  <c r="P41" i="4" l="1"/>
</calcChain>
</file>

<file path=xl/sharedStrings.xml><?xml version="1.0" encoding="utf-8"?>
<sst xmlns="http://schemas.openxmlformats.org/spreadsheetml/2006/main" count="117" uniqueCount="87">
  <si>
    <t>№</t>
  </si>
  <si>
    <t>Посада</t>
  </si>
  <si>
    <t>ставка</t>
  </si>
  <si>
    <t xml:space="preserve">Заробітна плата </t>
  </si>
  <si>
    <t>Приб.служб приміщень</t>
  </si>
  <si>
    <t>Лаборант</t>
  </si>
  <si>
    <t xml:space="preserve">Кухар </t>
  </si>
  <si>
    <t>разом</t>
  </si>
  <si>
    <t xml:space="preserve">Робітник </t>
  </si>
  <si>
    <t xml:space="preserve">Водій </t>
  </si>
  <si>
    <t>РОЗРЯД</t>
  </si>
  <si>
    <t>ОКЛАД</t>
  </si>
  <si>
    <t>доп. До мін</t>
  </si>
  <si>
    <t>шкідливість</t>
  </si>
  <si>
    <t>інтенсивність</t>
  </si>
  <si>
    <t>класність</t>
  </si>
  <si>
    <t>нічні</t>
  </si>
  <si>
    <t>Зав.кабінетом</t>
  </si>
  <si>
    <t>Вислуга</t>
  </si>
  <si>
    <t>Оздоровчі</t>
  </si>
  <si>
    <t>за місяць</t>
  </si>
  <si>
    <t>min</t>
  </si>
  <si>
    <t>Нічн.сторож</t>
  </si>
  <si>
    <t>3(а)</t>
  </si>
  <si>
    <t xml:space="preserve">механік </t>
  </si>
  <si>
    <t xml:space="preserve">секретар </t>
  </si>
  <si>
    <t>95% від дир.</t>
  </si>
  <si>
    <t>Заст.дирек. з госп.частин</t>
  </si>
  <si>
    <t>Підс.по кухні</t>
  </si>
  <si>
    <t>20(а)</t>
  </si>
  <si>
    <t>Електромонтер</t>
  </si>
  <si>
    <t xml:space="preserve">медсестра </t>
  </si>
  <si>
    <t>Кочегар</t>
  </si>
  <si>
    <t xml:space="preserve">Kочегар </t>
  </si>
  <si>
    <t>Бібліотекар</t>
  </si>
  <si>
    <t>діловод</t>
  </si>
  <si>
    <t>вихователь</t>
  </si>
  <si>
    <t>Розряди</t>
  </si>
  <si>
    <t>Коефіцієнт підвищення окладу</t>
  </si>
  <si>
    <t>середня спец.</t>
  </si>
  <si>
    <t>вища освіти</t>
  </si>
  <si>
    <t>ІІ категорія</t>
  </si>
  <si>
    <t>І категорія</t>
  </si>
  <si>
    <t>вища категорія</t>
  </si>
  <si>
    <t>директори</t>
  </si>
  <si>
    <t>директор Саврань</t>
  </si>
  <si>
    <t>57 ст.</t>
  </si>
  <si>
    <t>ЄСВ</t>
  </si>
  <si>
    <t>Комірник</t>
  </si>
  <si>
    <t>Посадовий оклад з 01.04.2024</t>
  </si>
  <si>
    <t>Посадовий оклад педагоги з 01.04.2024</t>
  </si>
  <si>
    <t>Посадовий оклад з 01.01.2024</t>
  </si>
  <si>
    <t>Посадовий оклад педагоги з 01.01.2024</t>
  </si>
  <si>
    <t>мін І полов</t>
  </si>
  <si>
    <t>мін ІІ полов</t>
  </si>
  <si>
    <t>місяці І половина</t>
  </si>
  <si>
    <t>місяці ІІ половина</t>
  </si>
  <si>
    <t>прест</t>
  </si>
  <si>
    <t>місяц</t>
  </si>
  <si>
    <t>57 ст.І пол</t>
  </si>
  <si>
    <t>57 ст ІІ пол</t>
  </si>
  <si>
    <t>електромонтер</t>
  </si>
  <si>
    <t>Дврник</t>
  </si>
  <si>
    <t>інженер електромонтер</t>
  </si>
  <si>
    <t>Разом до 31.03.2024</t>
  </si>
  <si>
    <t>Разом з 01.04.2024</t>
  </si>
  <si>
    <t>Машиніст (Кочегар)</t>
  </si>
  <si>
    <t>опалювач</t>
  </si>
  <si>
    <t>помічник вихователя</t>
  </si>
  <si>
    <t>асистент вихователя</t>
  </si>
  <si>
    <t>інженер-електронік</t>
  </si>
  <si>
    <t>інтенсивність/престижність</t>
  </si>
  <si>
    <t>завідувач господ</t>
  </si>
  <si>
    <t>Приб.служб приміщ</t>
  </si>
  <si>
    <t>Приб.служб прим</t>
  </si>
  <si>
    <t>медсестра з дієтич харч</t>
  </si>
  <si>
    <t>Разом на листопад-грудень</t>
  </si>
  <si>
    <t>денний сторож</t>
  </si>
  <si>
    <t>донарахування ЄСВ</t>
  </si>
  <si>
    <t>кошторисні призначення на листопад-грудень</t>
  </si>
  <si>
    <t>Оплата прац</t>
  </si>
  <si>
    <t>нарахування</t>
  </si>
  <si>
    <t>нарахування на оплату праці</t>
  </si>
  <si>
    <t xml:space="preserve">Додаткова потреба </t>
  </si>
  <si>
    <t>Видатки  на  заробітну  плату  закладів  загальної  середньої  освіти   на  листопад-грудень 2024р.</t>
  </si>
  <si>
    <t>Додаток                                                                                                                                                                                                                                    до рішення селищної ради                                                                                                                                                                                         від 05.12.2024 № 2892-VIII</t>
  </si>
  <si>
    <t>Секретар селищної ради                                                                                                                                                                           Олег ЖИРУН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</si>
</sst>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2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7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2" fontId="1" fillId="2" borderId="1" xfId="0" applyNumberFormat="1" applyFont="1" applyFill="1" applyBorder="1"/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9" fillId="2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/>
    <xf numFmtId="0" fontId="0" fillId="0" borderId="0" xfId="0" applyAlignment="1">
      <alignment wrapText="1"/>
    </xf>
    <xf numFmtId="1" fontId="0" fillId="0" borderId="0" xfId="0" applyNumberFormat="1"/>
    <xf numFmtId="1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2" fontId="1" fillId="3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/>
    <xf numFmtId="0" fontId="9" fillId="0" borderId="0" xfId="0" applyFont="1" applyFill="1"/>
    <xf numFmtId="1" fontId="0" fillId="0" borderId="0" xfId="0" applyNumberForma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2" fontId="9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/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9" fillId="0" borderId="0" xfId="0" applyNumberFormat="1" applyFont="1" applyFill="1"/>
    <xf numFmtId="2" fontId="7" fillId="0" borderId="0" xfId="0" applyNumberFormat="1" applyFont="1" applyFill="1"/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/>
    <xf numFmtId="2" fontId="0" fillId="0" borderId="0" xfId="0" applyNumberFormat="1" applyFont="1" applyFill="1"/>
    <xf numFmtId="2" fontId="13" fillId="0" borderId="0" xfId="0" applyNumberFormat="1" applyFont="1" applyFill="1"/>
    <xf numFmtId="164" fontId="0" fillId="0" borderId="0" xfId="0" applyNumberFormat="1" applyFill="1"/>
    <xf numFmtId="0" fontId="0" fillId="0" borderId="0" xfId="0" applyFill="1" applyBorder="1" applyAlignment="1">
      <alignment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2" fontId="3" fillId="2" borderId="0" xfId="0" applyNumberFormat="1" applyFont="1" applyFill="1" applyBorder="1" applyAlignment="1">
      <alignment horizontal="center" vertical="center"/>
    </xf>
    <xf numFmtId="0" fontId="14" fillId="0" borderId="0" xfId="0" applyFont="1"/>
    <xf numFmtId="2" fontId="14" fillId="0" borderId="0" xfId="0" applyNumberFormat="1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2" borderId="12" xfId="0" applyNumberFormat="1" applyFill="1" applyBorder="1" applyAlignment="1">
      <alignment horizontal="center" vertical="center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 applyAlignment="1"/>
    <xf numFmtId="0" fontId="1" fillId="0" borderId="0" xfId="0" applyFont="1" applyAlignment="1">
      <alignment horizontal="left" wrapText="1"/>
    </xf>
    <xf numFmtId="0" fontId="15" fillId="0" borderId="0" xfId="0" applyFont="1" applyAlignment="1"/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zoomScale="80" zoomScaleNormal="80" zoomScaleSheetLayoutView="70" workbookViewId="0">
      <selection activeCell="E5" sqref="E5"/>
    </sheetView>
  </sheetViews>
  <sheetFormatPr defaultRowHeight="15" x14ac:dyDescent="0.25"/>
  <cols>
    <col min="1" max="1" width="13.5703125" customWidth="1"/>
    <col min="2" max="2" width="16" customWidth="1"/>
    <col min="3" max="3" width="16.140625" style="7" customWidth="1"/>
    <col min="4" max="4" width="19" customWidth="1"/>
    <col min="5" max="5" width="16" customWidth="1"/>
    <col min="6" max="6" width="16.42578125" customWidth="1"/>
    <col min="7" max="7" width="25" customWidth="1"/>
    <col min="8" max="8" width="10.28515625" customWidth="1"/>
    <col min="10" max="10" width="10.140625" customWidth="1"/>
    <col min="11" max="12" width="10.28515625" customWidth="1"/>
    <col min="14" max="14" width="8.7109375" customWidth="1"/>
    <col min="15" max="15" width="13.5703125" customWidth="1"/>
    <col min="16" max="16" width="12.28515625" customWidth="1"/>
    <col min="17" max="17" width="12" customWidth="1"/>
    <col min="18" max="18" width="13.85546875" customWidth="1"/>
  </cols>
  <sheetData>
    <row r="1" spans="1:14" ht="48.6" customHeight="1" x14ac:dyDescent="0.25">
      <c r="A1" s="32" t="s">
        <v>37</v>
      </c>
      <c r="B1" s="32" t="s">
        <v>38</v>
      </c>
      <c r="C1" s="33" t="s">
        <v>51</v>
      </c>
      <c r="D1" s="32" t="s">
        <v>52</v>
      </c>
      <c r="E1" s="32" t="s">
        <v>49</v>
      </c>
      <c r="F1" s="32" t="s">
        <v>50</v>
      </c>
      <c r="G1" s="34"/>
      <c r="H1" s="28" t="s">
        <v>53</v>
      </c>
      <c r="I1" s="28" t="s">
        <v>54</v>
      </c>
      <c r="J1" s="28" t="s">
        <v>55</v>
      </c>
      <c r="K1" s="28" t="s">
        <v>56</v>
      </c>
      <c r="L1" s="73" t="s">
        <v>57</v>
      </c>
      <c r="M1" s="73" t="s">
        <v>59</v>
      </c>
      <c r="N1" s="73" t="s">
        <v>60</v>
      </c>
    </row>
    <row r="2" spans="1:14" ht="20.45" customHeight="1" x14ac:dyDescent="0.25">
      <c r="A2" s="35">
        <v>1</v>
      </c>
      <c r="B2" s="36">
        <v>1</v>
      </c>
      <c r="C2" s="37">
        <v>3195</v>
      </c>
      <c r="D2" s="36"/>
      <c r="E2" s="37">
        <v>3195</v>
      </c>
      <c r="F2" s="36"/>
      <c r="G2" s="34"/>
      <c r="H2" s="28">
        <v>8000</v>
      </c>
      <c r="I2" s="28">
        <v>8000</v>
      </c>
      <c r="J2" s="28">
        <v>3</v>
      </c>
      <c r="K2" s="73">
        <v>9</v>
      </c>
      <c r="L2" s="73">
        <v>0.05</v>
      </c>
      <c r="M2" s="73">
        <v>0</v>
      </c>
      <c r="N2" s="73">
        <v>0.05</v>
      </c>
    </row>
    <row r="3" spans="1:14" ht="19.899999999999999" customHeight="1" x14ac:dyDescent="0.25">
      <c r="A3" s="35">
        <v>2</v>
      </c>
      <c r="B3" s="36">
        <v>1.0900000000000001</v>
      </c>
      <c r="C3" s="37">
        <f>C2*B3</f>
        <v>3482.55</v>
      </c>
      <c r="D3" s="36"/>
      <c r="E3" s="37">
        <f>E2*B3</f>
        <v>3482.55</v>
      </c>
      <c r="F3" s="36"/>
      <c r="G3" s="34"/>
      <c r="H3" s="28"/>
      <c r="I3" s="28"/>
      <c r="J3" s="28">
        <v>3</v>
      </c>
      <c r="K3">
        <v>3.5</v>
      </c>
    </row>
    <row r="4" spans="1:14" ht="18" customHeight="1" x14ac:dyDescent="0.25">
      <c r="A4" s="35">
        <v>3</v>
      </c>
      <c r="B4" s="36">
        <v>1.18</v>
      </c>
      <c r="C4" s="37">
        <f>C2*B4</f>
        <v>3770.1</v>
      </c>
      <c r="D4" s="36"/>
      <c r="E4" s="37">
        <f>E2*B4</f>
        <v>3770.1</v>
      </c>
      <c r="F4" s="36"/>
      <c r="G4" s="34"/>
      <c r="H4" s="28"/>
      <c r="I4" s="28"/>
      <c r="J4" s="28"/>
    </row>
    <row r="5" spans="1:14" ht="20.45" customHeight="1" x14ac:dyDescent="0.25">
      <c r="A5" s="35">
        <v>4</v>
      </c>
      <c r="B5" s="38">
        <v>1.27</v>
      </c>
      <c r="C5" s="39">
        <f>C2*B5</f>
        <v>4057.65</v>
      </c>
      <c r="D5" s="38"/>
      <c r="E5" s="39">
        <f>E2*B5</f>
        <v>4057.65</v>
      </c>
      <c r="F5" s="38"/>
      <c r="G5" s="1"/>
    </row>
    <row r="6" spans="1:14" ht="19.149999999999999" customHeight="1" x14ac:dyDescent="0.25">
      <c r="A6" s="35">
        <v>5</v>
      </c>
      <c r="B6" s="38">
        <v>1.36</v>
      </c>
      <c r="C6" s="39">
        <f>C2*B6</f>
        <v>4345.2000000000007</v>
      </c>
      <c r="D6" s="38"/>
      <c r="E6" s="39">
        <f>E2*B6</f>
        <v>4345.2000000000007</v>
      </c>
      <c r="F6" s="38"/>
      <c r="G6" s="1"/>
    </row>
    <row r="7" spans="1:14" ht="19.899999999999999" customHeight="1" x14ac:dyDescent="0.25">
      <c r="A7" s="35">
        <v>6</v>
      </c>
      <c r="B7" s="38">
        <v>1.45</v>
      </c>
      <c r="C7" s="39">
        <f>C2*B7</f>
        <v>4632.75</v>
      </c>
      <c r="D7" s="38"/>
      <c r="E7" s="39">
        <f>E2*B7</f>
        <v>4632.75</v>
      </c>
      <c r="F7" s="38"/>
      <c r="G7" s="1"/>
    </row>
    <row r="8" spans="1:14" ht="19.149999999999999" customHeight="1" x14ac:dyDescent="0.25">
      <c r="A8" s="35">
        <v>7</v>
      </c>
      <c r="B8" s="38">
        <v>1.54</v>
      </c>
      <c r="C8" s="39">
        <f>C2*B8</f>
        <v>4920.3</v>
      </c>
      <c r="D8" s="38"/>
      <c r="E8" s="39">
        <f>E2*B8</f>
        <v>4920.3</v>
      </c>
      <c r="F8" s="38"/>
      <c r="G8" s="1"/>
    </row>
    <row r="9" spans="1:14" ht="18" customHeight="1" x14ac:dyDescent="0.25">
      <c r="A9" s="35">
        <v>8</v>
      </c>
      <c r="B9" s="38">
        <v>1.64</v>
      </c>
      <c r="C9" s="39">
        <f>C2*B9</f>
        <v>5239.7999999999993</v>
      </c>
      <c r="D9" s="38"/>
      <c r="E9" s="39">
        <f>E2*B9</f>
        <v>5239.7999999999993</v>
      </c>
      <c r="F9" s="38"/>
      <c r="G9" s="1"/>
    </row>
    <row r="10" spans="1:14" ht="19.149999999999999" customHeight="1" x14ac:dyDescent="0.25">
      <c r="A10" s="35">
        <v>9</v>
      </c>
      <c r="B10" s="38">
        <v>1.73</v>
      </c>
      <c r="C10" s="39">
        <f>C2*B10</f>
        <v>5527.35</v>
      </c>
      <c r="D10" s="38">
        <f>C10*110%</f>
        <v>6080.0850000000009</v>
      </c>
      <c r="E10" s="39">
        <f>E2*B10</f>
        <v>5527.35</v>
      </c>
      <c r="F10" s="38">
        <f>E10*110%</f>
        <v>6080.0850000000009</v>
      </c>
      <c r="G10" s="1"/>
    </row>
    <row r="11" spans="1:14" ht="20.45" customHeight="1" x14ac:dyDescent="0.25">
      <c r="A11" s="35">
        <v>10</v>
      </c>
      <c r="B11" s="38">
        <v>1.82</v>
      </c>
      <c r="C11" s="39">
        <f>C2*B11</f>
        <v>5814.9000000000005</v>
      </c>
      <c r="D11" s="38">
        <f t="shared" ref="D11:D18" si="0">C11*110%</f>
        <v>6396.3900000000012</v>
      </c>
      <c r="E11" s="39">
        <f>E2*B11</f>
        <v>5814.9000000000005</v>
      </c>
      <c r="F11" s="38">
        <f t="shared" ref="F11:F18" si="1">E11*110%</f>
        <v>6396.3900000000012</v>
      </c>
      <c r="G11" s="1" t="s">
        <v>39</v>
      </c>
    </row>
    <row r="12" spans="1:14" ht="20.45" customHeight="1" x14ac:dyDescent="0.25">
      <c r="A12" s="35">
        <v>11</v>
      </c>
      <c r="B12" s="38">
        <v>1.97</v>
      </c>
      <c r="C12" s="39">
        <f>C2*B12</f>
        <v>6294.15</v>
      </c>
      <c r="D12" s="38">
        <f t="shared" si="0"/>
        <v>6923.5650000000005</v>
      </c>
      <c r="E12" s="39">
        <f>E2*B12</f>
        <v>6294.15</v>
      </c>
      <c r="F12" s="38">
        <f t="shared" si="1"/>
        <v>6923.5650000000005</v>
      </c>
      <c r="G12" s="1" t="s">
        <v>40</v>
      </c>
    </row>
    <row r="13" spans="1:14" ht="19.149999999999999" customHeight="1" x14ac:dyDescent="0.25">
      <c r="A13" s="35">
        <v>12</v>
      </c>
      <c r="B13" s="38">
        <v>2.12</v>
      </c>
      <c r="C13" s="39">
        <f>C2*B13</f>
        <v>6773.4000000000005</v>
      </c>
      <c r="D13" s="38">
        <f t="shared" si="0"/>
        <v>7450.7400000000016</v>
      </c>
      <c r="E13" s="39">
        <f>E2*B13</f>
        <v>6773.4000000000005</v>
      </c>
      <c r="F13" s="38">
        <f t="shared" si="1"/>
        <v>7450.7400000000016</v>
      </c>
      <c r="G13" s="1" t="s">
        <v>41</v>
      </c>
    </row>
    <row r="14" spans="1:14" ht="18" customHeight="1" x14ac:dyDescent="0.25">
      <c r="A14" s="35">
        <v>13</v>
      </c>
      <c r="B14" s="38">
        <v>2.27</v>
      </c>
      <c r="C14" s="39">
        <f>C2*B14</f>
        <v>7252.65</v>
      </c>
      <c r="D14" s="38">
        <f t="shared" si="0"/>
        <v>7977.915</v>
      </c>
      <c r="E14" s="39">
        <f>E2*B14</f>
        <v>7252.65</v>
      </c>
      <c r="F14" s="38">
        <f t="shared" si="1"/>
        <v>7977.915</v>
      </c>
      <c r="G14" s="1" t="s">
        <v>42</v>
      </c>
    </row>
    <row r="15" spans="1:14" ht="18" customHeight="1" x14ac:dyDescent="0.25">
      <c r="A15" s="35">
        <v>14</v>
      </c>
      <c r="B15" s="38">
        <v>2.42</v>
      </c>
      <c r="C15" s="39">
        <f>C2*B15</f>
        <v>7731.9</v>
      </c>
      <c r="D15" s="38">
        <f t="shared" si="0"/>
        <v>8505.09</v>
      </c>
      <c r="E15" s="39">
        <f>E2*B15</f>
        <v>7731.9</v>
      </c>
      <c r="F15" s="38">
        <f t="shared" si="1"/>
        <v>8505.09</v>
      </c>
      <c r="G15" s="1" t="s">
        <v>43</v>
      </c>
    </row>
    <row r="16" spans="1:14" ht="18" customHeight="1" x14ac:dyDescent="0.25">
      <c r="A16" s="35">
        <v>15</v>
      </c>
      <c r="B16" s="38">
        <v>2.58</v>
      </c>
      <c r="C16" s="39">
        <f>C2*B16</f>
        <v>8243.1</v>
      </c>
      <c r="D16" s="38">
        <f t="shared" si="0"/>
        <v>9067.4100000000017</v>
      </c>
      <c r="E16" s="39">
        <f>E2*B16</f>
        <v>8243.1</v>
      </c>
      <c r="F16" s="38">
        <f t="shared" si="1"/>
        <v>9067.4100000000017</v>
      </c>
      <c r="G16" s="1" t="s">
        <v>44</v>
      </c>
    </row>
    <row r="17" spans="1:7" ht="19.149999999999999" customHeight="1" x14ac:dyDescent="0.25">
      <c r="A17" s="35">
        <v>16</v>
      </c>
      <c r="B17" s="38">
        <v>2.79</v>
      </c>
      <c r="C17" s="39">
        <f>C2*B17</f>
        <v>8914.0499999999993</v>
      </c>
      <c r="D17" s="38">
        <f t="shared" si="0"/>
        <v>9805.4549999999999</v>
      </c>
      <c r="E17" s="39">
        <f>E2*B17</f>
        <v>8914.0499999999993</v>
      </c>
      <c r="F17" s="38">
        <f t="shared" si="1"/>
        <v>9805.4549999999999</v>
      </c>
      <c r="G17" s="1"/>
    </row>
    <row r="18" spans="1:7" s="5" customFormat="1" ht="20.45" customHeight="1" x14ac:dyDescent="0.25">
      <c r="A18" s="35">
        <v>17</v>
      </c>
      <c r="B18" s="38">
        <v>3</v>
      </c>
      <c r="C18" s="39">
        <f>C2*B18</f>
        <v>9585</v>
      </c>
      <c r="D18" s="38">
        <f t="shared" si="0"/>
        <v>10543.5</v>
      </c>
      <c r="E18" s="39">
        <f>E2*B18</f>
        <v>9585</v>
      </c>
      <c r="F18" s="38">
        <f t="shared" si="1"/>
        <v>10543.5</v>
      </c>
      <c r="G18" s="40" t="s">
        <v>45</v>
      </c>
    </row>
    <row r="19" spans="1:7" x14ac:dyDescent="0.25">
      <c r="C19" s="29"/>
    </row>
    <row r="20" spans="1:7" ht="26.45" customHeight="1" x14ac:dyDescent="0.25">
      <c r="G20" t="s">
        <v>64</v>
      </c>
    </row>
    <row r="21" spans="1:7" ht="25.15" customHeight="1" x14ac:dyDescent="0.25">
      <c r="G21" t="s">
        <v>65</v>
      </c>
    </row>
  </sheetData>
  <pageMargins left="0.7" right="0.7" top="0.75" bottom="0.75" header="0.3" footer="0.3"/>
  <pageSetup paperSize="9" scale="80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"/>
  <sheetViews>
    <sheetView zoomScale="80" zoomScaleNormal="80" zoomScaleSheetLayoutView="70" workbookViewId="0">
      <selection activeCell="E45" sqref="E45"/>
    </sheetView>
  </sheetViews>
  <sheetFormatPr defaultRowHeight="15" x14ac:dyDescent="0.25"/>
  <cols>
    <col min="1" max="1" width="13.5703125" customWidth="1"/>
    <col min="2" max="2" width="9" customWidth="1"/>
    <col min="3" max="3" width="10" style="7" customWidth="1"/>
    <col min="4" max="4" width="27.28515625" customWidth="1"/>
    <col min="5" max="5" width="12.140625" customWidth="1"/>
    <col min="6" max="6" width="11.42578125" customWidth="1"/>
    <col min="7" max="7" width="12.7109375" customWidth="1"/>
    <col min="8" max="8" width="10.28515625" customWidth="1"/>
    <col min="14" max="14" width="13.7109375" customWidth="1"/>
    <col min="15" max="15" width="13.5703125" customWidth="1"/>
    <col min="16" max="16" width="12.28515625" customWidth="1"/>
    <col min="17" max="17" width="12" style="4" customWidth="1"/>
    <col min="18" max="18" width="13.85546875" customWidth="1"/>
  </cols>
  <sheetData>
    <row r="1" spans="1:22" ht="15.6" customHeight="1" x14ac:dyDescent="0.25">
      <c r="A1" s="42"/>
      <c r="B1" s="42"/>
      <c r="C1" s="31"/>
      <c r="D1" s="31"/>
      <c r="E1" s="52"/>
      <c r="F1" s="80" t="s">
        <v>3</v>
      </c>
      <c r="G1" s="81"/>
      <c r="H1" s="81"/>
      <c r="I1" s="82"/>
      <c r="J1" s="53"/>
      <c r="K1" s="53"/>
      <c r="L1" s="53"/>
      <c r="M1" s="53"/>
      <c r="N1" s="53"/>
      <c r="O1" s="53"/>
      <c r="P1" s="83" t="str">
        <f>'тарифна сітка'!G20</f>
        <v>Разом до 31.03.2024</v>
      </c>
      <c r="Q1" s="47"/>
      <c r="R1" s="8" t="s">
        <v>21</v>
      </c>
      <c r="S1" s="42" t="s">
        <v>58</v>
      </c>
      <c r="T1" s="42"/>
      <c r="U1" s="42"/>
      <c r="V1" s="42"/>
    </row>
    <row r="2" spans="1:22" ht="31.5" x14ac:dyDescent="0.25">
      <c r="A2" s="42" t="s">
        <v>10</v>
      </c>
      <c r="B2" s="42" t="s">
        <v>11</v>
      </c>
      <c r="C2" s="31" t="s">
        <v>0</v>
      </c>
      <c r="D2" s="31" t="s">
        <v>1</v>
      </c>
      <c r="E2" s="52" t="s">
        <v>2</v>
      </c>
      <c r="F2" s="31" t="s">
        <v>11</v>
      </c>
      <c r="G2" s="31" t="s">
        <v>12</v>
      </c>
      <c r="H2" s="54" t="s">
        <v>13</v>
      </c>
      <c r="I2" s="31" t="s">
        <v>14</v>
      </c>
      <c r="J2" s="62" t="s">
        <v>15</v>
      </c>
      <c r="K2" s="62" t="s">
        <v>16</v>
      </c>
      <c r="L2" s="63" t="s">
        <v>17</v>
      </c>
      <c r="M2" s="62" t="s">
        <v>18</v>
      </c>
      <c r="N2" s="62" t="s">
        <v>19</v>
      </c>
      <c r="O2" s="62" t="s">
        <v>20</v>
      </c>
      <c r="P2" s="84"/>
      <c r="Q2" s="26" t="s">
        <v>47</v>
      </c>
      <c r="R2" s="42">
        <f>'тарифна сітка'!H2</f>
        <v>8000</v>
      </c>
      <c r="S2">
        <f>'тарифна сітка'!J2</f>
        <v>3</v>
      </c>
      <c r="T2" s="42"/>
      <c r="U2" s="42"/>
      <c r="V2" s="42"/>
    </row>
    <row r="3" spans="1:22" ht="16.899999999999999" customHeight="1" x14ac:dyDescent="0.25">
      <c r="A3" s="43">
        <v>2</v>
      </c>
      <c r="B3" s="64">
        <f>'тарифна сітка'!C3</f>
        <v>3482.55</v>
      </c>
      <c r="C3" s="65">
        <v>1</v>
      </c>
      <c r="D3" s="66" t="s">
        <v>22</v>
      </c>
      <c r="E3" s="74"/>
      <c r="F3" s="3"/>
      <c r="G3" s="56"/>
      <c r="H3" s="67"/>
      <c r="I3" s="67"/>
      <c r="J3" s="68"/>
      <c r="K3" s="56"/>
      <c r="L3" s="69"/>
      <c r="M3" s="69"/>
      <c r="N3" s="3"/>
      <c r="O3" s="69">
        <f>F3+G3+H3+J3+K3+L3+M3</f>
        <v>0</v>
      </c>
      <c r="P3" s="56">
        <f>O3*S$2+N3</f>
        <v>0</v>
      </c>
      <c r="Q3" s="70"/>
      <c r="R3" s="6"/>
      <c r="S3">
        <f>'тарифна сітка'!J3</f>
        <v>3</v>
      </c>
      <c r="T3" s="42"/>
      <c r="U3" s="42"/>
      <c r="V3" s="42"/>
    </row>
    <row r="4" spans="1:22" x14ac:dyDescent="0.25">
      <c r="A4" s="42">
        <v>4</v>
      </c>
      <c r="B4" s="45">
        <f>'тарифна сітка'!C5</f>
        <v>4057.65</v>
      </c>
      <c r="C4" s="3">
        <v>2</v>
      </c>
      <c r="D4" s="55" t="s">
        <v>6</v>
      </c>
      <c r="E4" s="41"/>
      <c r="F4" s="3"/>
      <c r="G4" s="56"/>
      <c r="H4" s="56"/>
      <c r="I4" s="3"/>
      <c r="J4" s="3"/>
      <c r="K4" s="3"/>
      <c r="L4" s="3"/>
      <c r="M4" s="3"/>
      <c r="N4" s="3"/>
      <c r="O4" s="69">
        <f t="shared" ref="O4:O38" si="0">F4+G4+H4+J4+K4+L4+M4</f>
        <v>0</v>
      </c>
      <c r="P4" s="56">
        <f t="shared" ref="P4:P38" si="1">O4*S$2+N4</f>
        <v>0</v>
      </c>
      <c r="Q4" s="70"/>
      <c r="R4" s="42"/>
      <c r="S4" s="42"/>
      <c r="T4" s="42"/>
      <c r="U4" s="42"/>
      <c r="V4" s="42"/>
    </row>
    <row r="5" spans="1:22" x14ac:dyDescent="0.25">
      <c r="A5" s="42">
        <v>4</v>
      </c>
      <c r="B5" s="45">
        <f>'тарифна сітка'!C5</f>
        <v>4057.65</v>
      </c>
      <c r="C5" s="3">
        <v>3</v>
      </c>
      <c r="D5" s="55" t="s">
        <v>9</v>
      </c>
      <c r="E5" s="41"/>
      <c r="F5" s="3"/>
      <c r="G5" s="56"/>
      <c r="H5" s="56"/>
      <c r="I5" s="56"/>
      <c r="J5" s="56"/>
      <c r="K5" s="56"/>
      <c r="L5" s="56"/>
      <c r="M5" s="56"/>
      <c r="N5" s="56"/>
      <c r="O5" s="69">
        <f>F5+G5+H5+J5+K5+L5+M5+I5</f>
        <v>0</v>
      </c>
      <c r="P5" s="56">
        <f t="shared" si="1"/>
        <v>0</v>
      </c>
      <c r="Q5" s="70"/>
      <c r="R5" s="42"/>
      <c r="S5" s="42"/>
      <c r="T5" s="42"/>
      <c r="U5" s="42"/>
      <c r="V5" s="42"/>
    </row>
    <row r="6" spans="1:22" x14ac:dyDescent="0.25">
      <c r="A6" s="42">
        <v>5</v>
      </c>
      <c r="B6" s="45">
        <f>'тарифна сітка'!C6</f>
        <v>4345.2000000000007</v>
      </c>
      <c r="C6" s="3" t="s">
        <v>23</v>
      </c>
      <c r="D6" s="55" t="s">
        <v>24</v>
      </c>
      <c r="E6" s="41"/>
      <c r="F6" s="3"/>
      <c r="G6" s="56"/>
      <c r="H6" s="56"/>
      <c r="I6" s="3"/>
      <c r="J6" s="3"/>
      <c r="K6" s="3"/>
      <c r="L6" s="3"/>
      <c r="M6" s="3"/>
      <c r="N6" s="3"/>
      <c r="O6" s="69">
        <f t="shared" si="0"/>
        <v>0</v>
      </c>
      <c r="P6" s="56">
        <f t="shared" si="1"/>
        <v>0</v>
      </c>
      <c r="Q6" s="70">
        <f>(R$2-O6)*0.22*9</f>
        <v>15840</v>
      </c>
      <c r="R6" s="42"/>
      <c r="S6" s="42"/>
      <c r="T6" s="42"/>
      <c r="U6" s="42"/>
      <c r="V6" s="42"/>
    </row>
    <row r="7" spans="1:22" x14ac:dyDescent="0.25">
      <c r="A7" s="42">
        <v>5</v>
      </c>
      <c r="B7" s="45">
        <f>'тарифна сітка'!C6</f>
        <v>4345.2000000000007</v>
      </c>
      <c r="C7" s="3">
        <v>4</v>
      </c>
      <c r="D7" s="55" t="s">
        <v>25</v>
      </c>
      <c r="E7" s="41"/>
      <c r="F7" s="3"/>
      <c r="G7" s="56"/>
      <c r="H7" s="56"/>
      <c r="I7" s="3"/>
      <c r="J7" s="3"/>
      <c r="K7" s="3"/>
      <c r="L7" s="3"/>
      <c r="M7" s="3"/>
      <c r="N7" s="3"/>
      <c r="O7" s="69">
        <f t="shared" si="0"/>
        <v>0</v>
      </c>
      <c r="P7" s="56">
        <f t="shared" si="1"/>
        <v>0</v>
      </c>
      <c r="Q7" s="70"/>
      <c r="R7" s="42"/>
      <c r="S7" s="42"/>
      <c r="T7" s="42"/>
      <c r="U7" s="42"/>
      <c r="V7" s="42"/>
    </row>
    <row r="8" spans="1:22" x14ac:dyDescent="0.25">
      <c r="A8" s="42">
        <v>5</v>
      </c>
      <c r="B8" s="45">
        <f>'тарифна сітка'!C6</f>
        <v>4345.2000000000007</v>
      </c>
      <c r="C8" s="3">
        <v>5</v>
      </c>
      <c r="D8" s="55" t="s">
        <v>35</v>
      </c>
      <c r="E8" s="41"/>
      <c r="F8" s="3"/>
      <c r="G8" s="56"/>
      <c r="H8" s="56"/>
      <c r="I8" s="3"/>
      <c r="J8" s="3"/>
      <c r="K8" s="3"/>
      <c r="L8" s="3"/>
      <c r="M8" s="3"/>
      <c r="N8" s="3"/>
      <c r="O8" s="69">
        <f t="shared" si="0"/>
        <v>0</v>
      </c>
      <c r="P8" s="56">
        <f t="shared" si="1"/>
        <v>0</v>
      </c>
      <c r="Q8" s="70">
        <f>(R$2-O8)*0.22*9</f>
        <v>15840</v>
      </c>
      <c r="R8" s="42"/>
      <c r="S8" s="42"/>
      <c r="T8" s="42"/>
      <c r="U8" s="42"/>
      <c r="V8" s="42"/>
    </row>
    <row r="9" spans="1:22" ht="15.6" customHeight="1" x14ac:dyDescent="0.25">
      <c r="A9" s="42" t="s">
        <v>26</v>
      </c>
      <c r="B9" s="42">
        <f>'тарифна сітка'!C18*0.95</f>
        <v>9105.75</v>
      </c>
      <c r="C9" s="3">
        <v>6</v>
      </c>
      <c r="D9" s="55" t="s">
        <v>27</v>
      </c>
      <c r="E9" s="41"/>
      <c r="F9" s="3"/>
      <c r="G9" s="56"/>
      <c r="H9" s="56"/>
      <c r="I9" s="3"/>
      <c r="J9" s="3"/>
      <c r="K9" s="3"/>
      <c r="L9" s="3"/>
      <c r="M9" s="3"/>
      <c r="N9" s="3"/>
      <c r="O9" s="69">
        <f>F9+G9+H9+J9+K9+L9+M9+I9</f>
        <v>0</v>
      </c>
      <c r="P9" s="56">
        <f t="shared" si="1"/>
        <v>0</v>
      </c>
      <c r="Q9" s="70"/>
      <c r="R9" s="42"/>
      <c r="S9" s="42"/>
      <c r="T9" s="42"/>
      <c r="U9" s="42"/>
      <c r="V9" s="42"/>
    </row>
    <row r="10" spans="1:22" x14ac:dyDescent="0.25">
      <c r="A10" s="42">
        <v>3</v>
      </c>
      <c r="B10" s="45">
        <f>'тарифна сітка'!C4</f>
        <v>3770.1</v>
      </c>
      <c r="C10" s="3">
        <v>7</v>
      </c>
      <c r="D10" s="55" t="s">
        <v>6</v>
      </c>
      <c r="E10" s="41"/>
      <c r="F10" s="3"/>
      <c r="G10" s="56"/>
      <c r="H10" s="56"/>
      <c r="I10" s="3"/>
      <c r="J10" s="3"/>
      <c r="K10" s="3"/>
      <c r="L10" s="3"/>
      <c r="M10" s="3"/>
      <c r="N10" s="3"/>
      <c r="O10" s="69">
        <f t="shared" si="0"/>
        <v>0</v>
      </c>
      <c r="P10" s="56">
        <f t="shared" si="1"/>
        <v>0</v>
      </c>
      <c r="Q10" s="70"/>
      <c r="R10" s="42"/>
      <c r="S10" s="42"/>
      <c r="T10" s="42"/>
      <c r="U10" s="42"/>
      <c r="V10" s="42"/>
    </row>
    <row r="11" spans="1:22" ht="15.6" customHeight="1" x14ac:dyDescent="0.25">
      <c r="A11" s="42">
        <v>2</v>
      </c>
      <c r="B11" s="45">
        <f>'тарифна сітка'!C3</f>
        <v>3482.55</v>
      </c>
      <c r="C11" s="3"/>
      <c r="D11" s="55" t="s">
        <v>28</v>
      </c>
      <c r="E11" s="41"/>
      <c r="F11" s="3"/>
      <c r="G11" s="56"/>
      <c r="H11" s="56"/>
      <c r="I11" s="3"/>
      <c r="J11" s="3"/>
      <c r="K11" s="3"/>
      <c r="L11" s="3"/>
      <c r="M11" s="3"/>
      <c r="N11" s="3"/>
      <c r="O11" s="69">
        <f t="shared" si="0"/>
        <v>0</v>
      </c>
      <c r="P11" s="56">
        <f t="shared" si="1"/>
        <v>0</v>
      </c>
      <c r="Q11" s="70">
        <f>(R$2-O11)*0.22*9</f>
        <v>15840</v>
      </c>
      <c r="R11" s="42"/>
      <c r="S11" s="42"/>
      <c r="T11" s="42"/>
      <c r="U11" s="42"/>
      <c r="V11" s="42"/>
    </row>
    <row r="12" spans="1:22" x14ac:dyDescent="0.25">
      <c r="A12" s="42">
        <v>3</v>
      </c>
      <c r="B12" s="45">
        <f>'тарифна сітка'!C4</f>
        <v>3770.1</v>
      </c>
      <c r="C12" s="3">
        <v>8</v>
      </c>
      <c r="D12" s="55" t="s">
        <v>9</v>
      </c>
      <c r="E12" s="41"/>
      <c r="F12" s="3"/>
      <c r="G12" s="56"/>
      <c r="H12" s="56"/>
      <c r="I12" s="3"/>
      <c r="J12" s="3"/>
      <c r="K12" s="3"/>
      <c r="L12" s="3"/>
      <c r="M12" s="3"/>
      <c r="N12" s="3"/>
      <c r="O12" s="69">
        <f t="shared" si="0"/>
        <v>0</v>
      </c>
      <c r="P12" s="56">
        <f t="shared" si="1"/>
        <v>0</v>
      </c>
      <c r="Q12" s="70"/>
      <c r="R12" s="42"/>
      <c r="S12" s="42"/>
      <c r="T12" s="42"/>
      <c r="U12" s="42"/>
      <c r="V12" s="42"/>
    </row>
    <row r="13" spans="1:22" x14ac:dyDescent="0.25">
      <c r="A13" s="42">
        <v>3</v>
      </c>
      <c r="B13" s="45">
        <f>'тарифна сітка'!C4</f>
        <v>3770.1</v>
      </c>
      <c r="C13" s="3">
        <v>9</v>
      </c>
      <c r="D13" s="55" t="s">
        <v>6</v>
      </c>
      <c r="E13" s="41"/>
      <c r="F13" s="3"/>
      <c r="G13" s="56"/>
      <c r="H13" s="56"/>
      <c r="I13" s="3"/>
      <c r="J13" s="3"/>
      <c r="K13" s="3"/>
      <c r="L13" s="3"/>
      <c r="M13" s="3"/>
      <c r="N13" s="3"/>
      <c r="O13" s="69">
        <f t="shared" si="0"/>
        <v>0</v>
      </c>
      <c r="P13" s="56">
        <f t="shared" si="1"/>
        <v>0</v>
      </c>
      <c r="Q13" s="70"/>
      <c r="R13" s="42"/>
      <c r="S13" s="42"/>
      <c r="T13" s="42"/>
      <c r="U13" s="42"/>
      <c r="V13" s="42"/>
    </row>
    <row r="14" spans="1:22" x14ac:dyDescent="0.25">
      <c r="A14" s="42">
        <v>3</v>
      </c>
      <c r="B14" s="45">
        <f>'тарифна сітка'!C4</f>
        <v>3770.1</v>
      </c>
      <c r="C14" s="3">
        <v>10</v>
      </c>
      <c r="D14" s="55" t="s">
        <v>75</v>
      </c>
      <c r="E14" s="41"/>
      <c r="F14" s="3"/>
      <c r="G14" s="56"/>
      <c r="H14" s="56"/>
      <c r="I14" s="3"/>
      <c r="J14" s="3"/>
      <c r="K14" s="3"/>
      <c r="L14" s="3"/>
      <c r="M14" s="3"/>
      <c r="N14" s="3"/>
      <c r="O14" s="69">
        <f t="shared" si="0"/>
        <v>0</v>
      </c>
      <c r="P14" s="56">
        <f t="shared" si="1"/>
        <v>0</v>
      </c>
      <c r="Q14" s="70"/>
      <c r="R14" s="42"/>
      <c r="S14" s="42"/>
      <c r="T14" s="42"/>
      <c r="U14" s="42"/>
      <c r="V14" s="42"/>
    </row>
    <row r="15" spans="1:22" ht="18.600000000000001" customHeight="1" x14ac:dyDescent="0.25">
      <c r="A15" s="42">
        <v>2</v>
      </c>
      <c r="B15" s="45">
        <f>'тарифна сітка'!C3</f>
        <v>3482.55</v>
      </c>
      <c r="C15" s="3">
        <v>11</v>
      </c>
      <c r="D15" s="55" t="s">
        <v>74</v>
      </c>
      <c r="E15" s="41"/>
      <c r="F15" s="3"/>
      <c r="G15" s="56"/>
      <c r="H15" s="56"/>
      <c r="I15" s="3"/>
      <c r="J15" s="3"/>
      <c r="K15" s="3"/>
      <c r="L15" s="3"/>
      <c r="M15" s="3"/>
      <c r="N15" s="3"/>
      <c r="O15" s="69">
        <f t="shared" si="0"/>
        <v>0</v>
      </c>
      <c r="P15" s="56">
        <f t="shared" si="1"/>
        <v>0</v>
      </c>
      <c r="Q15" s="70"/>
      <c r="R15" s="42"/>
      <c r="S15" s="42"/>
      <c r="T15" s="42"/>
      <c r="U15" s="42"/>
      <c r="V15" s="42"/>
    </row>
    <row r="16" spans="1:22" ht="15.6" customHeight="1" x14ac:dyDescent="0.25">
      <c r="A16" s="42">
        <v>2</v>
      </c>
      <c r="B16" s="45">
        <f>'тарифна сітка'!C3</f>
        <v>3482.55</v>
      </c>
      <c r="C16" s="3">
        <v>12</v>
      </c>
      <c r="D16" s="55" t="s">
        <v>73</v>
      </c>
      <c r="E16" s="41"/>
      <c r="F16" s="3"/>
      <c r="G16" s="56"/>
      <c r="H16" s="56"/>
      <c r="I16" s="3"/>
      <c r="J16" s="3"/>
      <c r="K16" s="3"/>
      <c r="L16" s="3"/>
      <c r="M16" s="3"/>
      <c r="N16" s="3"/>
      <c r="O16" s="69">
        <f t="shared" si="0"/>
        <v>0</v>
      </c>
      <c r="P16" s="56">
        <f t="shared" si="1"/>
        <v>0</v>
      </c>
      <c r="Q16" s="70"/>
      <c r="R16" s="42"/>
      <c r="S16" s="42"/>
      <c r="T16" s="42"/>
      <c r="U16" s="42"/>
      <c r="V16" s="42"/>
    </row>
    <row r="17" spans="1:22" ht="16.899999999999999" customHeight="1" x14ac:dyDescent="0.25">
      <c r="A17" s="42">
        <v>2</v>
      </c>
      <c r="B17" s="45">
        <f>'тарифна сітка'!C3</f>
        <v>3482.55</v>
      </c>
      <c r="C17" s="3">
        <v>13</v>
      </c>
      <c r="D17" s="55" t="s">
        <v>4</v>
      </c>
      <c r="E17" s="41"/>
      <c r="F17" s="3"/>
      <c r="G17" s="56"/>
      <c r="H17" s="56"/>
      <c r="I17" s="3"/>
      <c r="J17" s="3"/>
      <c r="K17" s="3"/>
      <c r="L17" s="3"/>
      <c r="M17" s="3"/>
      <c r="N17" s="3"/>
      <c r="O17" s="69">
        <f t="shared" si="0"/>
        <v>0</v>
      </c>
      <c r="P17" s="56">
        <f t="shared" si="1"/>
        <v>0</v>
      </c>
      <c r="Q17" s="70"/>
      <c r="R17" s="42"/>
      <c r="S17" s="42"/>
      <c r="T17" s="42"/>
      <c r="U17" s="42"/>
      <c r="V17" s="42"/>
    </row>
    <row r="18" spans="1:22" ht="13.9" customHeight="1" x14ac:dyDescent="0.25">
      <c r="A18" s="42">
        <v>2</v>
      </c>
      <c r="B18" s="45">
        <f>'тарифна сітка'!C3</f>
        <v>3482.55</v>
      </c>
      <c r="C18" s="3">
        <v>14</v>
      </c>
      <c r="D18" s="55" t="s">
        <v>4</v>
      </c>
      <c r="E18" s="41"/>
      <c r="F18" s="3"/>
      <c r="G18" s="56"/>
      <c r="H18" s="56"/>
      <c r="I18" s="3"/>
      <c r="J18" s="3"/>
      <c r="K18" s="3"/>
      <c r="L18" s="3"/>
      <c r="M18" s="3"/>
      <c r="N18" s="3"/>
      <c r="O18" s="69">
        <f t="shared" si="0"/>
        <v>0</v>
      </c>
      <c r="P18" s="56">
        <f t="shared" si="1"/>
        <v>0</v>
      </c>
      <c r="Q18" s="70"/>
      <c r="R18" s="42"/>
      <c r="S18" s="42"/>
      <c r="T18" s="42"/>
      <c r="U18" s="42"/>
      <c r="V18" s="42"/>
    </row>
    <row r="19" spans="1:22" ht="12.6" customHeight="1" x14ac:dyDescent="0.25">
      <c r="A19" s="42">
        <v>2</v>
      </c>
      <c r="B19" s="45">
        <f>'тарифна сітка'!C3</f>
        <v>3482.55</v>
      </c>
      <c r="C19" s="3">
        <v>15</v>
      </c>
      <c r="D19" s="55" t="s">
        <v>4</v>
      </c>
      <c r="E19" s="41"/>
      <c r="F19" s="3"/>
      <c r="G19" s="56"/>
      <c r="H19" s="56"/>
      <c r="I19" s="3"/>
      <c r="J19" s="3"/>
      <c r="K19" s="3"/>
      <c r="L19" s="3"/>
      <c r="M19" s="3"/>
      <c r="N19" s="3"/>
      <c r="O19" s="69">
        <f t="shared" si="0"/>
        <v>0</v>
      </c>
      <c r="P19" s="56">
        <f t="shared" si="1"/>
        <v>0</v>
      </c>
      <c r="Q19" s="70"/>
      <c r="R19" s="42"/>
      <c r="S19" s="42"/>
      <c r="T19" s="42"/>
      <c r="U19" s="42"/>
      <c r="V19" s="42"/>
    </row>
    <row r="20" spans="1:22" ht="14.45" customHeight="1" x14ac:dyDescent="0.25">
      <c r="A20" s="42">
        <v>2</v>
      </c>
      <c r="B20" s="45">
        <f>'тарифна сітка'!C3</f>
        <v>3482.55</v>
      </c>
      <c r="C20" s="3">
        <v>16</v>
      </c>
      <c r="D20" s="55" t="s">
        <v>4</v>
      </c>
      <c r="E20" s="50"/>
      <c r="F20" s="3"/>
      <c r="G20" s="56"/>
      <c r="H20" s="56"/>
      <c r="I20" s="3"/>
      <c r="J20" s="3"/>
      <c r="K20" s="3"/>
      <c r="L20" s="3"/>
      <c r="M20" s="3"/>
      <c r="N20" s="3"/>
      <c r="O20" s="69">
        <f t="shared" si="0"/>
        <v>0</v>
      </c>
      <c r="P20" s="56">
        <f t="shared" si="1"/>
        <v>0</v>
      </c>
      <c r="Q20" s="70"/>
      <c r="R20" s="42"/>
      <c r="S20" s="42"/>
      <c r="T20" s="42"/>
      <c r="U20" s="42"/>
      <c r="V20" s="42"/>
    </row>
    <row r="21" spans="1:22" ht="13.9" customHeight="1" x14ac:dyDescent="0.25">
      <c r="A21" s="42">
        <v>2</v>
      </c>
      <c r="B21" s="45">
        <f>'тарифна сітка'!C3</f>
        <v>3482.55</v>
      </c>
      <c r="C21" s="3">
        <v>17</v>
      </c>
      <c r="D21" s="55" t="s">
        <v>63</v>
      </c>
      <c r="E21" s="41"/>
      <c r="F21" s="3"/>
      <c r="G21" s="56"/>
      <c r="H21" s="56"/>
      <c r="I21" s="3"/>
      <c r="J21" s="3"/>
      <c r="K21" s="3"/>
      <c r="L21" s="3"/>
      <c r="M21" s="3"/>
      <c r="N21" s="3"/>
      <c r="O21" s="69">
        <f t="shared" si="0"/>
        <v>0</v>
      </c>
      <c r="P21" s="56">
        <f t="shared" si="1"/>
        <v>0</v>
      </c>
      <c r="Q21" s="70"/>
      <c r="R21" s="42"/>
      <c r="S21" s="42"/>
      <c r="T21" s="42"/>
      <c r="U21" s="42"/>
      <c r="V21" s="42"/>
    </row>
    <row r="22" spans="1:22" ht="12" customHeight="1" x14ac:dyDescent="0.25">
      <c r="A22" s="42">
        <v>2</v>
      </c>
      <c r="B22" s="45">
        <f>'тарифна сітка'!C3</f>
        <v>3482.55</v>
      </c>
      <c r="C22" s="3">
        <v>18</v>
      </c>
      <c r="D22" s="55" t="s">
        <v>4</v>
      </c>
      <c r="E22" s="41"/>
      <c r="F22" s="3"/>
      <c r="G22" s="56"/>
      <c r="H22" s="56"/>
      <c r="I22" s="3"/>
      <c r="J22" s="3"/>
      <c r="K22" s="3"/>
      <c r="L22" s="3"/>
      <c r="M22" s="3"/>
      <c r="N22" s="3"/>
      <c r="O22" s="69">
        <f t="shared" si="0"/>
        <v>0</v>
      </c>
      <c r="P22" s="56">
        <f t="shared" si="1"/>
        <v>0</v>
      </c>
      <c r="Q22" s="70"/>
      <c r="R22" s="42"/>
      <c r="S22" s="42"/>
      <c r="T22" s="42"/>
      <c r="U22" s="42"/>
      <c r="V22" s="42"/>
    </row>
    <row r="23" spans="1:22" ht="12.6" customHeight="1" x14ac:dyDescent="0.25">
      <c r="A23" s="42">
        <v>2</v>
      </c>
      <c r="B23" s="45">
        <f>'тарифна сітка'!C3</f>
        <v>3482.55</v>
      </c>
      <c r="C23" s="3">
        <v>19</v>
      </c>
      <c r="D23" s="55" t="s">
        <v>28</v>
      </c>
      <c r="E23" s="50"/>
      <c r="F23" s="3"/>
      <c r="G23" s="56"/>
      <c r="H23" s="56"/>
      <c r="I23" s="3"/>
      <c r="J23" s="3"/>
      <c r="K23" s="3"/>
      <c r="L23" s="3"/>
      <c r="M23" s="3"/>
      <c r="N23" s="3"/>
      <c r="O23" s="69">
        <f t="shared" si="0"/>
        <v>0</v>
      </c>
      <c r="P23" s="56">
        <f t="shared" si="1"/>
        <v>0</v>
      </c>
      <c r="Q23" s="70"/>
      <c r="R23" s="42"/>
      <c r="S23" s="42"/>
      <c r="T23" s="42"/>
      <c r="U23" s="42"/>
      <c r="V23" s="42"/>
    </row>
    <row r="24" spans="1:22" ht="12" customHeight="1" x14ac:dyDescent="0.25">
      <c r="A24" s="42">
        <v>2</v>
      </c>
      <c r="B24" s="45">
        <f>'тарифна сітка'!C3</f>
        <v>3482.55</v>
      </c>
      <c r="C24" s="3">
        <v>20</v>
      </c>
      <c r="D24" s="55" t="s">
        <v>62</v>
      </c>
      <c r="E24" s="41"/>
      <c r="F24" s="3"/>
      <c r="G24" s="56"/>
      <c r="H24" s="56"/>
      <c r="I24" s="3"/>
      <c r="J24" s="3"/>
      <c r="K24" s="3"/>
      <c r="L24" s="3"/>
      <c r="M24" s="3"/>
      <c r="N24" s="3"/>
      <c r="O24" s="69">
        <f t="shared" si="0"/>
        <v>0</v>
      </c>
      <c r="P24" s="56">
        <f t="shared" si="1"/>
        <v>0</v>
      </c>
      <c r="Q24" s="70"/>
      <c r="R24" s="42"/>
      <c r="S24" s="42"/>
      <c r="T24" s="42"/>
      <c r="U24" s="42"/>
      <c r="V24" s="42"/>
    </row>
    <row r="25" spans="1:22" ht="13.9" customHeight="1" x14ac:dyDescent="0.25">
      <c r="A25" s="42">
        <v>5</v>
      </c>
      <c r="B25" s="45">
        <f>'тарифна сітка'!C6</f>
        <v>4345.2000000000007</v>
      </c>
      <c r="C25" s="3" t="s">
        <v>29</v>
      </c>
      <c r="D25" s="55" t="s">
        <v>30</v>
      </c>
      <c r="E25" s="41"/>
      <c r="F25" s="3"/>
      <c r="G25" s="56"/>
      <c r="H25" s="56"/>
      <c r="I25" s="3"/>
      <c r="J25" s="3"/>
      <c r="K25" s="3"/>
      <c r="L25" s="3"/>
      <c r="M25" s="3"/>
      <c r="N25" s="3"/>
      <c r="O25" s="69">
        <f t="shared" si="0"/>
        <v>0</v>
      </c>
      <c r="P25" s="56">
        <f t="shared" si="1"/>
        <v>0</v>
      </c>
      <c r="Q25" s="70"/>
      <c r="R25" s="42"/>
      <c r="S25" s="42"/>
      <c r="T25" s="42"/>
      <c r="U25" s="42"/>
      <c r="V25" s="42"/>
    </row>
    <row r="26" spans="1:22" x14ac:dyDescent="0.25">
      <c r="A26" s="42">
        <v>6</v>
      </c>
      <c r="B26" s="45">
        <f>'тарифна сітка'!C7</f>
        <v>4632.75</v>
      </c>
      <c r="C26" s="3">
        <v>21</v>
      </c>
      <c r="D26" s="55" t="s">
        <v>31</v>
      </c>
      <c r="E26" s="41"/>
      <c r="F26" s="3"/>
      <c r="G26" s="56"/>
      <c r="H26" s="56"/>
      <c r="I26" s="3"/>
      <c r="J26" s="3"/>
      <c r="K26" s="3"/>
      <c r="L26" s="3"/>
      <c r="M26" s="3"/>
      <c r="N26" s="3"/>
      <c r="O26" s="69">
        <f t="shared" si="0"/>
        <v>0</v>
      </c>
      <c r="P26" s="56">
        <f t="shared" si="1"/>
        <v>0</v>
      </c>
      <c r="Q26" s="70"/>
      <c r="R26" s="42"/>
      <c r="S26" s="42"/>
      <c r="T26" s="42"/>
      <c r="U26" s="42"/>
      <c r="V26" s="42"/>
    </row>
    <row r="27" spans="1:22" x14ac:dyDescent="0.25">
      <c r="A27" s="42">
        <v>5</v>
      </c>
      <c r="B27" s="45">
        <f>'тарифна сітка'!C6</f>
        <v>4345.2000000000007</v>
      </c>
      <c r="C27" s="3">
        <v>22</v>
      </c>
      <c r="D27" s="55" t="s">
        <v>66</v>
      </c>
      <c r="E27" s="41"/>
      <c r="F27" s="3"/>
      <c r="G27" s="56"/>
      <c r="H27" s="56"/>
      <c r="I27" s="3"/>
      <c r="J27" s="3"/>
      <c r="K27" s="56"/>
      <c r="L27" s="3"/>
      <c r="M27" s="3"/>
      <c r="N27" s="3"/>
      <c r="O27" s="69">
        <f t="shared" si="0"/>
        <v>0</v>
      </c>
      <c r="P27" s="56">
        <f>O27*S$3+N27</f>
        <v>0</v>
      </c>
      <c r="Q27" s="70">
        <f>O27</f>
        <v>0</v>
      </c>
      <c r="R27" s="42"/>
      <c r="S27" s="42"/>
      <c r="T27" s="42"/>
      <c r="U27" s="42"/>
      <c r="V27" s="42"/>
    </row>
    <row r="28" spans="1:22" x14ac:dyDescent="0.25">
      <c r="A28" s="42">
        <v>5</v>
      </c>
      <c r="B28" s="45">
        <f>'тарифна сітка'!C6</f>
        <v>4345.2000000000007</v>
      </c>
      <c r="C28" s="3">
        <v>23</v>
      </c>
      <c r="D28" s="55" t="s">
        <v>33</v>
      </c>
      <c r="E28" s="41"/>
      <c r="F28" s="3"/>
      <c r="G28" s="56"/>
      <c r="H28" s="56"/>
      <c r="I28" s="3"/>
      <c r="J28" s="3"/>
      <c r="K28" s="56"/>
      <c r="L28" s="56"/>
      <c r="M28" s="56"/>
      <c r="N28" s="3"/>
      <c r="O28" s="69">
        <f t="shared" si="0"/>
        <v>0</v>
      </c>
      <c r="P28" s="56">
        <f>O28*S$3+N28</f>
        <v>0</v>
      </c>
      <c r="Q28" s="70">
        <f t="shared" ref="Q28:Q33" si="2">O28</f>
        <v>0</v>
      </c>
      <c r="R28" s="42"/>
      <c r="S28" s="42"/>
      <c r="T28" s="42"/>
      <c r="U28" s="42"/>
      <c r="V28" s="42"/>
    </row>
    <row r="29" spans="1:22" x14ac:dyDescent="0.25">
      <c r="A29" s="42">
        <v>5</v>
      </c>
      <c r="B29" s="45">
        <f>'тарифна сітка'!C6</f>
        <v>4345.2000000000007</v>
      </c>
      <c r="C29" s="3">
        <v>24</v>
      </c>
      <c r="D29" s="55" t="s">
        <v>8</v>
      </c>
      <c r="E29" s="41"/>
      <c r="F29" s="3"/>
      <c r="G29" s="56"/>
      <c r="H29" s="56"/>
      <c r="I29" s="3"/>
      <c r="J29" s="3"/>
      <c r="K29" s="3"/>
      <c r="L29" s="3"/>
      <c r="M29" s="3"/>
      <c r="N29" s="3"/>
      <c r="O29" s="69">
        <f t="shared" si="0"/>
        <v>0</v>
      </c>
      <c r="P29" s="56">
        <f t="shared" si="1"/>
        <v>0</v>
      </c>
      <c r="Q29" s="70"/>
      <c r="R29" s="42"/>
      <c r="S29" s="42"/>
      <c r="T29" s="42"/>
      <c r="U29" s="42"/>
      <c r="V29" s="42"/>
    </row>
    <row r="30" spans="1:22" ht="14.45" customHeight="1" x14ac:dyDescent="0.25">
      <c r="A30" s="42">
        <v>2</v>
      </c>
      <c r="B30" s="45">
        <f>'тарифна сітка'!C3</f>
        <v>3482.55</v>
      </c>
      <c r="C30" s="3">
        <v>25</v>
      </c>
      <c r="D30" s="55" t="s">
        <v>4</v>
      </c>
      <c r="E30" s="41"/>
      <c r="F30" s="3"/>
      <c r="G30" s="56"/>
      <c r="H30" s="56"/>
      <c r="I30" s="3"/>
      <c r="J30" s="3"/>
      <c r="K30" s="3"/>
      <c r="L30" s="3"/>
      <c r="M30" s="3"/>
      <c r="N30" s="3"/>
      <c r="O30" s="69">
        <f t="shared" si="0"/>
        <v>0</v>
      </c>
      <c r="P30" s="56">
        <f t="shared" si="1"/>
        <v>0</v>
      </c>
      <c r="Q30" s="70"/>
      <c r="R30" s="42"/>
      <c r="S30" s="42"/>
      <c r="T30" s="42"/>
      <c r="U30" s="42"/>
      <c r="V30" s="42"/>
    </row>
    <row r="31" spans="1:22" ht="13.9" customHeight="1" x14ac:dyDescent="0.25">
      <c r="A31" s="42">
        <v>2</v>
      </c>
      <c r="B31" s="45">
        <f>'тарифна сітка'!C3</f>
        <v>3482.55</v>
      </c>
      <c r="C31" s="3">
        <v>26</v>
      </c>
      <c r="D31" s="55" t="s">
        <v>4</v>
      </c>
      <c r="E31" s="41"/>
      <c r="F31" s="3"/>
      <c r="G31" s="56"/>
      <c r="H31" s="56"/>
      <c r="I31" s="3"/>
      <c r="J31" s="3"/>
      <c r="K31" s="3"/>
      <c r="L31" s="3"/>
      <c r="M31" s="3"/>
      <c r="N31" s="3"/>
      <c r="O31" s="69">
        <f t="shared" si="0"/>
        <v>0</v>
      </c>
      <c r="P31" s="56">
        <f t="shared" si="1"/>
        <v>0</v>
      </c>
      <c r="Q31" s="70"/>
      <c r="R31" s="42"/>
      <c r="S31" s="42"/>
      <c r="T31" s="42"/>
      <c r="U31" s="42"/>
      <c r="V31" s="42"/>
    </row>
    <row r="32" spans="1:22" x14ac:dyDescent="0.25">
      <c r="A32" s="42">
        <v>5</v>
      </c>
      <c r="B32" s="45">
        <f>'тарифна сітка'!C6</f>
        <v>4345.2000000000007</v>
      </c>
      <c r="C32" s="3">
        <v>27</v>
      </c>
      <c r="D32" s="55" t="s">
        <v>32</v>
      </c>
      <c r="E32" s="41"/>
      <c r="F32" s="3"/>
      <c r="G32" s="56"/>
      <c r="H32" s="56"/>
      <c r="I32" s="56"/>
      <c r="J32" s="56"/>
      <c r="K32" s="56"/>
      <c r="L32" s="56"/>
      <c r="M32" s="56"/>
      <c r="N32" s="3"/>
      <c r="O32" s="69">
        <f t="shared" si="0"/>
        <v>0</v>
      </c>
      <c r="P32" s="56">
        <f>O32*S$3+N32</f>
        <v>0</v>
      </c>
      <c r="Q32" s="70">
        <f t="shared" si="2"/>
        <v>0</v>
      </c>
      <c r="R32" s="42"/>
      <c r="S32" s="42"/>
      <c r="T32" s="42"/>
      <c r="U32" s="42"/>
      <c r="V32" s="42"/>
    </row>
    <row r="33" spans="1:22" x14ac:dyDescent="0.25">
      <c r="A33" s="42">
        <v>5</v>
      </c>
      <c r="B33" s="45">
        <f>'тарифна сітка'!C6</f>
        <v>4345.2000000000007</v>
      </c>
      <c r="C33" s="3">
        <v>28</v>
      </c>
      <c r="D33" s="55" t="s">
        <v>32</v>
      </c>
      <c r="E33" s="41"/>
      <c r="F33" s="3"/>
      <c r="G33" s="56"/>
      <c r="H33" s="56"/>
      <c r="I33" s="56"/>
      <c r="J33" s="56"/>
      <c r="K33" s="56"/>
      <c r="L33" s="56"/>
      <c r="M33" s="56"/>
      <c r="N33" s="3"/>
      <c r="O33" s="69">
        <f t="shared" si="0"/>
        <v>0</v>
      </c>
      <c r="P33" s="56">
        <f>O33*S$3+N33</f>
        <v>0</v>
      </c>
      <c r="Q33" s="70">
        <f t="shared" si="2"/>
        <v>0</v>
      </c>
      <c r="R33" s="42"/>
      <c r="S33" s="42"/>
      <c r="T33" s="42"/>
      <c r="U33" s="42"/>
      <c r="V33" s="42"/>
    </row>
    <row r="34" spans="1:22" ht="15.6" customHeight="1" x14ac:dyDescent="0.25">
      <c r="A34" s="42">
        <v>2</v>
      </c>
      <c r="B34" s="45">
        <f>'тарифна сітка'!C3</f>
        <v>3482.55</v>
      </c>
      <c r="C34" s="3">
        <v>29</v>
      </c>
      <c r="D34" s="55" t="s">
        <v>4</v>
      </c>
      <c r="E34" s="41"/>
      <c r="F34" s="3"/>
      <c r="G34" s="56"/>
      <c r="H34" s="56"/>
      <c r="I34" s="56"/>
      <c r="J34" s="56"/>
      <c r="K34" s="56"/>
      <c r="L34" s="56"/>
      <c r="M34" s="56"/>
      <c r="N34" s="3"/>
      <c r="O34" s="69">
        <f t="shared" si="0"/>
        <v>0</v>
      </c>
      <c r="P34" s="56">
        <f t="shared" si="1"/>
        <v>0</v>
      </c>
      <c r="Q34" s="71">
        <f>Q27+Q28+Q32+Q33</f>
        <v>0</v>
      </c>
      <c r="R34" s="42"/>
      <c r="S34" s="42"/>
      <c r="T34" s="42"/>
      <c r="U34" s="42"/>
      <c r="V34" s="42"/>
    </row>
    <row r="35" spans="1:22" x14ac:dyDescent="0.25">
      <c r="A35" s="42">
        <v>2</v>
      </c>
      <c r="B35" s="45">
        <f>'тарифна сітка'!C3</f>
        <v>3482.55</v>
      </c>
      <c r="C35" s="3">
        <v>30</v>
      </c>
      <c r="D35" s="55" t="s">
        <v>48</v>
      </c>
      <c r="E35" s="41"/>
      <c r="F35" s="3"/>
      <c r="G35" s="56"/>
      <c r="H35" s="56"/>
      <c r="I35" s="3"/>
      <c r="J35" s="56"/>
      <c r="K35" s="56"/>
      <c r="L35" s="56"/>
      <c r="M35" s="56"/>
      <c r="N35" s="3"/>
      <c r="O35" s="69">
        <f t="shared" si="0"/>
        <v>0</v>
      </c>
      <c r="P35" s="56">
        <f t="shared" si="1"/>
        <v>0</v>
      </c>
      <c r="Q35" s="70"/>
      <c r="R35" s="42"/>
      <c r="S35" s="42"/>
      <c r="T35" s="42"/>
      <c r="U35" s="42"/>
      <c r="V35" s="42"/>
    </row>
    <row r="36" spans="1:22" x14ac:dyDescent="0.25">
      <c r="A36" s="42">
        <v>8</v>
      </c>
      <c r="B36" s="45">
        <f>'тарифна сітка'!C9</f>
        <v>5239.7999999999993</v>
      </c>
      <c r="C36" s="3">
        <v>31</v>
      </c>
      <c r="D36" s="55" t="s">
        <v>34</v>
      </c>
      <c r="E36" s="41"/>
      <c r="F36" s="3"/>
      <c r="G36" s="56"/>
      <c r="H36" s="56"/>
      <c r="I36" s="3"/>
      <c r="J36" s="56"/>
      <c r="K36" s="56"/>
      <c r="L36" s="56"/>
      <c r="M36" s="56"/>
      <c r="N36" s="56"/>
      <c r="O36" s="69">
        <f>F36+G36+H36+J36+K36+L36+M36+I36</f>
        <v>0</v>
      </c>
      <c r="P36" s="56">
        <f t="shared" si="1"/>
        <v>0</v>
      </c>
      <c r="Q36" s="70"/>
      <c r="R36" s="42"/>
      <c r="S36" s="42"/>
      <c r="T36" s="42"/>
      <c r="U36" s="42"/>
      <c r="V36" s="42"/>
    </row>
    <row r="37" spans="1:22" ht="12.6" customHeight="1" x14ac:dyDescent="0.25">
      <c r="A37" s="42">
        <v>5</v>
      </c>
      <c r="B37" s="45">
        <f>'тарифна сітка'!C6</f>
        <v>4345.2000000000007</v>
      </c>
      <c r="C37" s="3">
        <v>32</v>
      </c>
      <c r="D37" s="55" t="s">
        <v>61</v>
      </c>
      <c r="E37" s="41"/>
      <c r="F37" s="3"/>
      <c r="G37" s="56"/>
      <c r="H37" s="56"/>
      <c r="I37" s="3"/>
      <c r="J37" s="56"/>
      <c r="K37" s="56"/>
      <c r="L37" s="56"/>
      <c r="M37" s="56"/>
      <c r="N37" s="56"/>
      <c r="O37" s="69">
        <f t="shared" si="0"/>
        <v>0</v>
      </c>
      <c r="P37" s="56">
        <f t="shared" si="1"/>
        <v>0</v>
      </c>
      <c r="Q37" s="70"/>
      <c r="R37" s="42"/>
      <c r="S37" s="42"/>
      <c r="T37" s="42"/>
      <c r="U37" s="42"/>
      <c r="V37" s="42"/>
    </row>
    <row r="38" spans="1:22" x14ac:dyDescent="0.25">
      <c r="A38" s="42">
        <v>5</v>
      </c>
      <c r="B38" s="45">
        <f>'тарифна сітка'!C6</f>
        <v>4345.2000000000007</v>
      </c>
      <c r="C38" s="3">
        <v>33</v>
      </c>
      <c r="D38" s="55" t="s">
        <v>5</v>
      </c>
      <c r="E38" s="41"/>
      <c r="F38" s="3"/>
      <c r="G38" s="56"/>
      <c r="H38" s="56"/>
      <c r="I38" s="3"/>
      <c r="J38" s="56"/>
      <c r="K38" s="56"/>
      <c r="L38" s="56"/>
      <c r="M38" s="56"/>
      <c r="N38" s="56"/>
      <c r="O38" s="69">
        <f t="shared" si="0"/>
        <v>0</v>
      </c>
      <c r="P38" s="56">
        <f t="shared" si="1"/>
        <v>0</v>
      </c>
      <c r="Q38" s="70"/>
      <c r="R38" s="42"/>
      <c r="S38" s="42"/>
      <c r="T38" s="42"/>
      <c r="U38" s="42"/>
      <c r="V38" s="42"/>
    </row>
    <row r="39" spans="1:22" ht="15.75" x14ac:dyDescent="0.25">
      <c r="A39" s="42"/>
      <c r="B39" s="42"/>
      <c r="C39" s="57"/>
      <c r="D39" s="58">
        <v>2111</v>
      </c>
      <c r="E39" s="51">
        <f t="shared" ref="E39:Q39" si="3">SUM(E3:E38)</f>
        <v>0</v>
      </c>
      <c r="F39" s="51">
        <f t="shared" si="3"/>
        <v>0</v>
      </c>
      <c r="G39" s="51">
        <f t="shared" si="3"/>
        <v>0</v>
      </c>
      <c r="H39" s="51">
        <f t="shared" si="3"/>
        <v>0</v>
      </c>
      <c r="I39" s="51">
        <f t="shared" si="3"/>
        <v>0</v>
      </c>
      <c r="J39" s="51">
        <f t="shared" si="3"/>
        <v>0</v>
      </c>
      <c r="K39" s="51">
        <f t="shared" si="3"/>
        <v>0</v>
      </c>
      <c r="L39" s="51">
        <f t="shared" si="3"/>
        <v>0</v>
      </c>
      <c r="M39" s="51">
        <f t="shared" si="3"/>
        <v>0</v>
      </c>
      <c r="N39" s="51">
        <f t="shared" si="3"/>
        <v>0</v>
      </c>
      <c r="O39" s="51">
        <f t="shared" si="3"/>
        <v>0</v>
      </c>
      <c r="P39" s="51">
        <f t="shared" si="3"/>
        <v>0</v>
      </c>
      <c r="Q39" s="51">
        <f t="shared" si="3"/>
        <v>47520</v>
      </c>
      <c r="R39" s="59">
        <f>180066*2+26000+O39*3-14300</f>
        <v>371832</v>
      </c>
      <c r="S39" s="42"/>
      <c r="T39" s="42"/>
      <c r="U39" s="42"/>
      <c r="V39" s="42"/>
    </row>
    <row r="40" spans="1:22" ht="18.75" x14ac:dyDescent="0.3">
      <c r="A40" s="42"/>
      <c r="B40" s="42"/>
      <c r="C40" s="42"/>
      <c r="D40" s="49">
        <v>2120</v>
      </c>
      <c r="E40" s="46"/>
      <c r="F40" s="46">
        <f>F39*22%</f>
        <v>0</v>
      </c>
      <c r="G40" s="46">
        <f t="shared" ref="G40:P40" si="4">G39*22%</f>
        <v>0</v>
      </c>
      <c r="H40" s="46">
        <f t="shared" si="4"/>
        <v>0</v>
      </c>
      <c r="I40" s="46">
        <f t="shared" si="4"/>
        <v>0</v>
      </c>
      <c r="J40" s="46">
        <f t="shared" si="4"/>
        <v>0</v>
      </c>
      <c r="K40" s="46">
        <f t="shared" si="4"/>
        <v>0</v>
      </c>
      <c r="L40" s="46">
        <f t="shared" si="4"/>
        <v>0</v>
      </c>
      <c r="M40" s="46">
        <f t="shared" si="4"/>
        <v>0</v>
      </c>
      <c r="N40" s="46">
        <f t="shared" si="4"/>
        <v>0</v>
      </c>
      <c r="O40" s="46">
        <f t="shared" si="4"/>
        <v>0</v>
      </c>
      <c r="P40" s="46">
        <f t="shared" si="4"/>
        <v>0</v>
      </c>
      <c r="Q40" s="47">
        <f>P40+Q39</f>
        <v>47520</v>
      </c>
      <c r="R40" s="61"/>
      <c r="S40" s="42"/>
      <c r="T40" s="42"/>
      <c r="U40" s="42"/>
      <c r="V40" s="42"/>
    </row>
    <row r="41" spans="1:22" s="22" customFormat="1" x14ac:dyDescent="0.25">
      <c r="A41" s="44"/>
      <c r="B41" s="44"/>
      <c r="C41" s="44"/>
      <c r="D41" s="24" t="s">
        <v>7</v>
      </c>
      <c r="E41" s="48"/>
      <c r="F41" s="48">
        <f>F39+F40</f>
        <v>0</v>
      </c>
      <c r="G41" s="48">
        <f t="shared" ref="G41:P41" si="5">G39+G40</f>
        <v>0</v>
      </c>
      <c r="H41" s="48">
        <f t="shared" si="5"/>
        <v>0</v>
      </c>
      <c r="I41" s="48">
        <f t="shared" si="5"/>
        <v>0</v>
      </c>
      <c r="J41" s="48">
        <f t="shared" si="5"/>
        <v>0</v>
      </c>
      <c r="K41" s="48">
        <f t="shared" si="5"/>
        <v>0</v>
      </c>
      <c r="L41" s="48">
        <f t="shared" si="5"/>
        <v>0</v>
      </c>
      <c r="M41" s="48">
        <f t="shared" si="5"/>
        <v>0</v>
      </c>
      <c r="N41" s="48">
        <f t="shared" si="5"/>
        <v>0</v>
      </c>
      <c r="O41" s="48">
        <f t="shared" si="5"/>
        <v>0</v>
      </c>
      <c r="P41" s="48">
        <f t="shared" si="5"/>
        <v>0</v>
      </c>
      <c r="Q41" s="60">
        <f>P39+Q40</f>
        <v>47520</v>
      </c>
      <c r="R41" s="44"/>
      <c r="S41" s="44"/>
      <c r="T41" s="44"/>
      <c r="U41" s="44"/>
      <c r="V41" s="44"/>
    </row>
    <row r="42" spans="1:22" x14ac:dyDescent="0.25">
      <c r="A42" s="42"/>
      <c r="B42" s="42"/>
      <c r="C42" s="7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7"/>
      <c r="R42" s="42"/>
      <c r="S42" s="42"/>
      <c r="T42" s="42"/>
      <c r="U42" s="42"/>
      <c r="V42" s="42"/>
    </row>
    <row r="43" spans="1:22" x14ac:dyDescent="0.25">
      <c r="A43" s="42"/>
      <c r="B43" s="42"/>
      <c r="C43" s="7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7"/>
      <c r="R43" s="42"/>
      <c r="S43" s="42"/>
      <c r="T43" s="42"/>
      <c r="U43" s="42"/>
      <c r="V43" s="42"/>
    </row>
    <row r="44" spans="1:22" x14ac:dyDescent="0.25">
      <c r="A44" s="42"/>
      <c r="B44" s="42"/>
      <c r="C44" s="7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7"/>
      <c r="R44" s="42"/>
      <c r="S44" s="42"/>
      <c r="T44" s="42"/>
      <c r="U44" s="42"/>
      <c r="V44" s="42"/>
    </row>
    <row r="45" spans="1:22" x14ac:dyDescent="0.25">
      <c r="A45" s="42"/>
      <c r="B45" s="42"/>
      <c r="C45" s="7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7"/>
      <c r="R45" s="42"/>
      <c r="S45" s="42"/>
      <c r="T45" s="42"/>
      <c r="U45" s="42"/>
      <c r="V45" s="42"/>
    </row>
    <row r="46" spans="1:22" x14ac:dyDescent="0.25">
      <c r="A46" s="42"/>
      <c r="B46" s="42"/>
      <c r="C46" s="7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7"/>
      <c r="R46" s="42"/>
      <c r="S46" s="42"/>
      <c r="T46" s="42"/>
      <c r="U46" s="42"/>
      <c r="V46" s="42"/>
    </row>
    <row r="47" spans="1:22" x14ac:dyDescent="0.25">
      <c r="A47" s="42"/>
      <c r="B47" s="42"/>
      <c r="C47" s="7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7"/>
      <c r="R47" s="42"/>
      <c r="S47" s="42"/>
      <c r="T47" s="42"/>
      <c r="U47" s="42"/>
      <c r="V47" s="42"/>
    </row>
    <row r="48" spans="1:22" x14ac:dyDescent="0.25">
      <c r="A48" s="42"/>
      <c r="B48" s="42"/>
      <c r="C48" s="7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7"/>
      <c r="R48" s="42"/>
      <c r="S48" s="42"/>
      <c r="T48" s="42"/>
      <c r="U48" s="42"/>
      <c r="V48" s="42"/>
    </row>
    <row r="49" spans="1:22" x14ac:dyDescent="0.25">
      <c r="A49" s="42"/>
      <c r="B49" s="42"/>
      <c r="C49" s="7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7"/>
      <c r="R49" s="42"/>
      <c r="S49" s="42"/>
      <c r="T49" s="42"/>
      <c r="U49" s="42"/>
      <c r="V49" s="42"/>
    </row>
    <row r="50" spans="1:22" x14ac:dyDescent="0.25">
      <c r="A50" s="42"/>
      <c r="B50" s="42"/>
      <c r="C50" s="7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7"/>
      <c r="R50" s="42"/>
      <c r="S50" s="42"/>
      <c r="T50" s="42"/>
      <c r="U50" s="42"/>
      <c r="V50" s="42"/>
    </row>
    <row r="51" spans="1:22" x14ac:dyDescent="0.25">
      <c r="A51" s="42"/>
      <c r="B51" s="42"/>
      <c r="C51" s="7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7"/>
      <c r="R51" s="42"/>
      <c r="S51" s="42"/>
      <c r="T51" s="42"/>
      <c r="U51" s="42"/>
      <c r="V51" s="42"/>
    </row>
    <row r="52" spans="1:22" x14ac:dyDescent="0.25">
      <c r="A52" s="42"/>
      <c r="B52" s="42"/>
      <c r="C52" s="7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7"/>
      <c r="R52" s="42"/>
      <c r="S52" s="42"/>
      <c r="T52" s="42"/>
      <c r="U52" s="42"/>
      <c r="V52" s="42"/>
    </row>
    <row r="53" spans="1:22" x14ac:dyDescent="0.25">
      <c r="A53" s="42"/>
      <c r="B53" s="42"/>
      <c r="C53" s="7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7"/>
      <c r="R53" s="42"/>
      <c r="S53" s="42"/>
      <c r="T53" s="42"/>
      <c r="U53" s="42"/>
      <c r="V53" s="42"/>
    </row>
    <row r="54" spans="1:22" x14ac:dyDescent="0.25">
      <c r="A54" s="42"/>
      <c r="B54" s="42"/>
      <c r="C54" s="7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7"/>
      <c r="R54" s="42"/>
      <c r="S54" s="42"/>
      <c r="T54" s="42"/>
      <c r="U54" s="42"/>
      <c r="V54" s="42"/>
    </row>
    <row r="55" spans="1:22" x14ac:dyDescent="0.25">
      <c r="A55" s="42"/>
      <c r="B55" s="42"/>
      <c r="C55" s="7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7"/>
      <c r="R55" s="42"/>
      <c r="S55" s="42"/>
      <c r="T55" s="42"/>
      <c r="U55" s="42"/>
      <c r="V55" s="42"/>
    </row>
    <row r="56" spans="1:22" x14ac:dyDescent="0.25">
      <c r="A56" s="42"/>
      <c r="B56" s="42"/>
      <c r="C56" s="7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7"/>
      <c r="R56" s="42"/>
      <c r="S56" s="42"/>
      <c r="T56" s="42"/>
      <c r="U56" s="42"/>
      <c r="V56" s="42"/>
    </row>
    <row r="57" spans="1:22" x14ac:dyDescent="0.25">
      <c r="A57" s="42"/>
      <c r="B57" s="42"/>
      <c r="C57" s="7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7"/>
      <c r="R57" s="42"/>
      <c r="S57" s="42"/>
      <c r="T57" s="42"/>
      <c r="U57" s="42"/>
      <c r="V57" s="42"/>
    </row>
    <row r="58" spans="1:22" x14ac:dyDescent="0.25">
      <c r="A58" s="42"/>
      <c r="B58" s="42"/>
      <c r="C58" s="7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7"/>
      <c r="R58" s="42"/>
      <c r="S58" s="42"/>
      <c r="T58" s="42"/>
      <c r="U58" s="42"/>
      <c r="V58" s="42"/>
    </row>
    <row r="59" spans="1:22" x14ac:dyDescent="0.25">
      <c r="A59" s="42"/>
      <c r="B59" s="42"/>
      <c r="C59" s="7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7"/>
      <c r="R59" s="42"/>
      <c r="S59" s="42"/>
      <c r="T59" s="42"/>
      <c r="U59" s="42"/>
      <c r="V59" s="42"/>
    </row>
    <row r="60" spans="1:22" x14ac:dyDescent="0.25">
      <c r="A60" s="42"/>
      <c r="B60" s="42"/>
      <c r="C60" s="7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7"/>
      <c r="R60" s="42"/>
      <c r="S60" s="42"/>
      <c r="T60" s="42"/>
      <c r="U60" s="42"/>
      <c r="V60" s="42"/>
    </row>
  </sheetData>
  <mergeCells count="2">
    <mergeCell ref="F1:I1"/>
    <mergeCell ref="P1:P2"/>
  </mergeCells>
  <pageMargins left="0.7" right="0.7" top="0.75" bottom="0.75" header="0.3" footer="0.3"/>
  <pageSetup paperSize="9" scale="80" orientation="portrait" verticalDpi="0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44"/>
  <sheetViews>
    <sheetView tabSelected="1" view="pageBreakPreview" topLeftCell="A19" zoomScaleNormal="80" zoomScaleSheetLayoutView="100" workbookViewId="0">
      <selection activeCell="Q10" sqref="Q10"/>
    </sheetView>
  </sheetViews>
  <sheetFormatPr defaultRowHeight="15" x14ac:dyDescent="0.25"/>
  <cols>
    <col min="1" max="1" width="8.5703125" customWidth="1"/>
    <col min="2" max="2" width="7" customWidth="1"/>
    <col min="3" max="3" width="5.140625" customWidth="1"/>
    <col min="4" max="4" width="23" customWidth="1"/>
    <col min="5" max="5" width="13.140625" style="4" customWidth="1"/>
    <col min="6" max="6" width="11.7109375" customWidth="1"/>
    <col min="7" max="7" width="12.140625" customWidth="1"/>
    <col min="8" max="8" width="11.42578125" customWidth="1"/>
    <col min="9" max="9" width="12.28515625" customWidth="1"/>
    <col min="10" max="10" width="11.28515625" customWidth="1"/>
    <col min="13" max="13" width="10.28515625" customWidth="1"/>
    <col min="14" max="14" width="10.42578125" customWidth="1"/>
    <col min="15" max="15" width="13" customWidth="1"/>
    <col min="16" max="16" width="14.85546875" customWidth="1"/>
    <col min="17" max="17" width="11.42578125" customWidth="1"/>
    <col min="19" max="19" width="12.7109375" customWidth="1"/>
  </cols>
  <sheetData>
    <row r="2" spans="1:18" x14ac:dyDescent="0.25">
      <c r="M2" s="90" t="s">
        <v>85</v>
      </c>
      <c r="N2" s="90"/>
      <c r="O2" s="90"/>
      <c r="P2" s="90"/>
    </row>
    <row r="3" spans="1:18" x14ac:dyDescent="0.25">
      <c r="M3" s="90"/>
      <c r="N3" s="90"/>
      <c r="O3" s="90"/>
      <c r="P3" s="90"/>
    </row>
    <row r="4" spans="1:18" x14ac:dyDescent="0.25">
      <c r="M4" s="90"/>
      <c r="N4" s="90"/>
      <c r="O4" s="90"/>
      <c r="P4" s="90"/>
    </row>
    <row r="6" spans="1:18" ht="18.75" x14ac:dyDescent="0.3">
      <c r="D6" s="78" t="s">
        <v>84</v>
      </c>
      <c r="E6" s="79"/>
      <c r="F6" s="78"/>
      <c r="G6" s="78"/>
      <c r="H6" s="78"/>
      <c r="I6" s="78"/>
      <c r="J6" s="78"/>
    </row>
    <row r="7" spans="1:18" ht="15.6" customHeight="1" x14ac:dyDescent="0.25">
      <c r="C7" s="92"/>
      <c r="D7" s="92"/>
      <c r="E7" s="93"/>
      <c r="F7" s="94" t="s">
        <v>3</v>
      </c>
      <c r="G7" s="95"/>
      <c r="H7" s="95"/>
      <c r="I7" s="96"/>
      <c r="J7" s="97"/>
      <c r="K7" s="97"/>
      <c r="L7" s="97"/>
      <c r="M7" s="97"/>
      <c r="N7" s="97"/>
      <c r="O7" s="97"/>
      <c r="P7" s="98" t="s">
        <v>76</v>
      </c>
      <c r="R7" s="8"/>
    </row>
    <row r="8" spans="1:18" ht="47.25" x14ac:dyDescent="0.25">
      <c r="A8" t="s">
        <v>10</v>
      </c>
      <c r="B8" t="s">
        <v>11</v>
      </c>
      <c r="C8" s="92" t="s">
        <v>0</v>
      </c>
      <c r="D8" s="92" t="s">
        <v>1</v>
      </c>
      <c r="E8" s="93" t="s">
        <v>2</v>
      </c>
      <c r="F8" s="92" t="s">
        <v>11</v>
      </c>
      <c r="G8" s="92" t="s">
        <v>12</v>
      </c>
      <c r="H8" s="99" t="s">
        <v>13</v>
      </c>
      <c r="I8" s="92" t="s">
        <v>71</v>
      </c>
      <c r="J8" s="100" t="s">
        <v>15</v>
      </c>
      <c r="K8" s="100" t="s">
        <v>16</v>
      </c>
      <c r="L8" s="101" t="s">
        <v>17</v>
      </c>
      <c r="M8" s="100" t="s">
        <v>18</v>
      </c>
      <c r="N8" s="100" t="s">
        <v>46</v>
      </c>
      <c r="O8" s="100" t="s">
        <v>20</v>
      </c>
      <c r="P8" s="102"/>
      <c r="Q8" s="20"/>
    </row>
    <row r="9" spans="1:18" x14ac:dyDescent="0.25">
      <c r="A9" s="9">
        <f>'Саврань І'!A3</f>
        <v>2</v>
      </c>
      <c r="B9" s="30">
        <f>'тарифна сітка'!E3</f>
        <v>3482.55</v>
      </c>
      <c r="C9" s="11">
        <v>1</v>
      </c>
      <c r="D9" s="23" t="s">
        <v>77</v>
      </c>
      <c r="E9" s="75">
        <v>1</v>
      </c>
      <c r="F9" s="2">
        <f t="shared" ref="F9:F32" si="0">E9*B9</f>
        <v>3482.55</v>
      </c>
      <c r="G9" s="12">
        <f t="shared" ref="G9:G14" si="1">(R$8*E9)-F9</f>
        <v>-3482.55</v>
      </c>
      <c r="H9" s="13"/>
      <c r="I9" s="13"/>
      <c r="J9" s="14"/>
      <c r="K9" s="12"/>
      <c r="L9" s="15"/>
      <c r="M9" s="15"/>
      <c r="N9" s="15"/>
      <c r="O9" s="15">
        <f>F9+G9+H9+J9+K9+L9+M9</f>
        <v>0</v>
      </c>
      <c r="P9" s="16">
        <f t="shared" ref="P9:P17" si="2">O9*S$8</f>
        <v>0</v>
      </c>
      <c r="Q9" s="10"/>
      <c r="R9" s="6"/>
    </row>
    <row r="10" spans="1:18" x14ac:dyDescent="0.25">
      <c r="A10" s="9">
        <f>'Саврань І'!A4</f>
        <v>4</v>
      </c>
      <c r="B10" s="29">
        <f>'тарифна сітка'!E5</f>
        <v>4057.65</v>
      </c>
      <c r="C10" s="2">
        <v>2</v>
      </c>
      <c r="D10" s="23" t="s">
        <v>72</v>
      </c>
      <c r="E10" s="75">
        <v>5.25</v>
      </c>
      <c r="F10" s="12">
        <f t="shared" si="0"/>
        <v>21302.662500000002</v>
      </c>
      <c r="G10" s="12">
        <f t="shared" si="1"/>
        <v>-21302.662500000002</v>
      </c>
      <c r="H10" s="12"/>
      <c r="I10" s="2"/>
      <c r="J10" s="2"/>
      <c r="K10" s="2"/>
      <c r="L10" s="2"/>
      <c r="M10" s="2"/>
      <c r="N10" s="2"/>
      <c r="O10" s="15">
        <f t="shared" ref="O10:O32" si="3">F10+G10+H10+J10+K10+L10+M10</f>
        <v>0</v>
      </c>
      <c r="P10" s="16">
        <f t="shared" si="2"/>
        <v>0</v>
      </c>
    </row>
    <row r="11" spans="1:18" x14ac:dyDescent="0.25">
      <c r="A11" s="9">
        <f>'Саврань І'!A5</f>
        <v>4</v>
      </c>
      <c r="B11" s="29">
        <f>'тарифна сітка'!E5</f>
        <v>4057.65</v>
      </c>
      <c r="C11" s="2">
        <v>3</v>
      </c>
      <c r="D11" s="23" t="str">
        <f>'Саврань І'!D5</f>
        <v xml:space="preserve">Водій </v>
      </c>
      <c r="E11" s="75">
        <v>12</v>
      </c>
      <c r="F11" s="2">
        <f t="shared" si="0"/>
        <v>48691.8</v>
      </c>
      <c r="G11" s="12">
        <f t="shared" si="1"/>
        <v>-48691.8</v>
      </c>
      <c r="H11" s="12"/>
      <c r="I11" s="2"/>
      <c r="J11" s="2">
        <f>F11*25%</f>
        <v>12172.95</v>
      </c>
      <c r="K11" s="2"/>
      <c r="L11" s="2"/>
      <c r="M11" s="2"/>
      <c r="N11" s="2"/>
      <c r="O11" s="15">
        <f t="shared" si="3"/>
        <v>12172.95</v>
      </c>
      <c r="P11" s="16">
        <f t="shared" si="2"/>
        <v>0</v>
      </c>
    </row>
    <row r="12" spans="1:18" x14ac:dyDescent="0.25">
      <c r="A12" s="9">
        <f>'Саврань І'!A6</f>
        <v>5</v>
      </c>
      <c r="B12" s="29">
        <f>'тарифна сітка'!E6</f>
        <v>4345.2000000000007</v>
      </c>
      <c r="C12" s="2">
        <v>4</v>
      </c>
      <c r="D12" s="23" t="str">
        <f>'Саврань І'!D6</f>
        <v xml:space="preserve">механік </v>
      </c>
      <c r="E12" s="75">
        <v>0.25</v>
      </c>
      <c r="F12" s="2">
        <f t="shared" si="0"/>
        <v>1086.3000000000002</v>
      </c>
      <c r="G12" s="12">
        <f t="shared" si="1"/>
        <v>-1086.3000000000002</v>
      </c>
      <c r="H12" s="12"/>
      <c r="I12" s="2"/>
      <c r="J12" s="2"/>
      <c r="K12" s="2"/>
      <c r="L12" s="2"/>
      <c r="M12" s="2"/>
      <c r="N12" s="2"/>
      <c r="O12" s="15">
        <f t="shared" si="3"/>
        <v>0</v>
      </c>
      <c r="P12" s="16">
        <f t="shared" si="2"/>
        <v>0</v>
      </c>
    </row>
    <row r="13" spans="1:18" x14ac:dyDescent="0.25">
      <c r="A13" s="9">
        <f>'Саврань І'!A7</f>
        <v>5</v>
      </c>
      <c r="B13" s="29">
        <f>'тарифна сітка'!E6</f>
        <v>4345.2000000000007</v>
      </c>
      <c r="C13" s="2">
        <v>5</v>
      </c>
      <c r="D13" s="23" t="str">
        <f>'Саврань І'!D7</f>
        <v xml:space="preserve">секретар </v>
      </c>
      <c r="E13" s="75">
        <v>1</v>
      </c>
      <c r="F13" s="2">
        <f t="shared" si="0"/>
        <v>4345.2000000000007</v>
      </c>
      <c r="G13" s="12">
        <f t="shared" si="1"/>
        <v>-4345.2000000000007</v>
      </c>
      <c r="H13" s="12"/>
      <c r="I13" s="2"/>
      <c r="J13" s="2"/>
      <c r="K13" s="2"/>
      <c r="L13" s="2"/>
      <c r="M13" s="2"/>
      <c r="N13" s="2"/>
      <c r="O13" s="15">
        <f t="shared" si="3"/>
        <v>0</v>
      </c>
      <c r="P13" s="16">
        <f t="shared" si="2"/>
        <v>0</v>
      </c>
    </row>
    <row r="14" spans="1:18" x14ac:dyDescent="0.25">
      <c r="A14" s="9">
        <f>'Саврань І'!A8</f>
        <v>5</v>
      </c>
      <c r="B14" s="29">
        <f>'тарифна сітка'!E6</f>
        <v>4345.2000000000007</v>
      </c>
      <c r="C14" s="2">
        <v>6</v>
      </c>
      <c r="D14" s="23" t="str">
        <f>'Саврань І'!D8</f>
        <v>діловод</v>
      </c>
      <c r="E14" s="75">
        <v>1</v>
      </c>
      <c r="F14" s="2">
        <f t="shared" si="0"/>
        <v>4345.2000000000007</v>
      </c>
      <c r="G14" s="12">
        <f t="shared" si="1"/>
        <v>-4345.2000000000007</v>
      </c>
      <c r="H14" s="12"/>
      <c r="I14" s="2"/>
      <c r="J14" s="2"/>
      <c r="K14" s="2"/>
      <c r="L14" s="2"/>
      <c r="M14" s="2"/>
      <c r="N14" s="2"/>
      <c r="O14" s="15">
        <f t="shared" si="3"/>
        <v>0</v>
      </c>
      <c r="P14" s="16">
        <f t="shared" si="2"/>
        <v>0</v>
      </c>
    </row>
    <row r="15" spans="1:18" ht="18.600000000000001" customHeight="1" x14ac:dyDescent="0.25">
      <c r="A15" s="17" t="s">
        <v>26</v>
      </c>
      <c r="B15">
        <f>'тарифна сітка'!E18*0.95</f>
        <v>9105.75</v>
      </c>
      <c r="C15" s="2">
        <v>7</v>
      </c>
      <c r="D15" s="23" t="str">
        <f>'Саврань І'!D9</f>
        <v>Заст.дирек. з госп.частин</v>
      </c>
      <c r="E15" s="75">
        <v>1</v>
      </c>
      <c r="F15" s="2">
        <f t="shared" si="0"/>
        <v>9105.75</v>
      </c>
      <c r="G15" s="12"/>
      <c r="H15" s="12"/>
      <c r="I15" s="2"/>
      <c r="J15" s="2"/>
      <c r="K15" s="2"/>
      <c r="L15" s="2"/>
      <c r="M15" s="2"/>
      <c r="N15" s="2"/>
      <c r="O15" s="15">
        <f t="shared" si="3"/>
        <v>9105.75</v>
      </c>
      <c r="P15" s="16">
        <f t="shared" si="2"/>
        <v>0</v>
      </c>
    </row>
    <row r="16" spans="1:18" x14ac:dyDescent="0.25">
      <c r="A16" s="17">
        <f>'Саврань І'!A11</f>
        <v>2</v>
      </c>
      <c r="B16" s="29">
        <f>'тарифна сітка'!E3</f>
        <v>3482.55</v>
      </c>
      <c r="C16" s="2">
        <v>8</v>
      </c>
      <c r="D16" s="23" t="str">
        <f>'Саврань І'!D11</f>
        <v>Підс.по кухні</v>
      </c>
      <c r="E16" s="75">
        <v>4.75</v>
      </c>
      <c r="F16" s="12">
        <f t="shared" si="0"/>
        <v>16542.112499999999</v>
      </c>
      <c r="G16" s="12">
        <f t="shared" ref="G16:G30" si="4">(R$8*E16)-F16</f>
        <v>-16542.112499999999</v>
      </c>
      <c r="H16" s="12"/>
      <c r="I16" s="2"/>
      <c r="J16" s="2"/>
      <c r="K16" s="2"/>
      <c r="L16" s="2"/>
      <c r="M16" s="2"/>
      <c r="N16" s="2"/>
      <c r="O16" s="15">
        <f t="shared" si="3"/>
        <v>0</v>
      </c>
      <c r="P16" s="16">
        <f t="shared" si="2"/>
        <v>0</v>
      </c>
    </row>
    <row r="17" spans="1:16" x14ac:dyDescent="0.25">
      <c r="A17" s="17">
        <f>'Саврань І'!A13</f>
        <v>3</v>
      </c>
      <c r="B17" s="29">
        <f>'тарифна сітка'!E4</f>
        <v>3770.1</v>
      </c>
      <c r="C17" s="2">
        <v>9</v>
      </c>
      <c r="D17" s="23" t="str">
        <f>'Саврань І'!D13</f>
        <v xml:space="preserve">Кухар </v>
      </c>
      <c r="E17" s="75">
        <v>21.2</v>
      </c>
      <c r="F17" s="2">
        <f t="shared" si="0"/>
        <v>79926.12</v>
      </c>
      <c r="G17" s="12">
        <f t="shared" si="4"/>
        <v>-79926.12</v>
      </c>
      <c r="H17" s="12">
        <f t="shared" ref="H17" si="5">F17*11%</f>
        <v>8791.8732</v>
      </c>
      <c r="I17" s="2"/>
      <c r="J17" s="2"/>
      <c r="K17" s="2"/>
      <c r="L17" s="2"/>
      <c r="M17" s="2"/>
      <c r="N17" s="2"/>
      <c r="O17" s="15">
        <f t="shared" si="3"/>
        <v>8791.8732</v>
      </c>
      <c r="P17" s="16">
        <f t="shared" si="2"/>
        <v>0</v>
      </c>
    </row>
    <row r="18" spans="1:16" ht="18" customHeight="1" x14ac:dyDescent="0.25">
      <c r="A18" s="17">
        <f>'Саврань І'!A14</f>
        <v>3</v>
      </c>
      <c r="B18" s="29">
        <f>'тарифна сітка'!E4</f>
        <v>3770.1</v>
      </c>
      <c r="C18" s="2">
        <v>10</v>
      </c>
      <c r="D18" s="23" t="str">
        <f>'Саврань І'!D14</f>
        <v>медсестра з дієтич харч</v>
      </c>
      <c r="E18" s="75">
        <v>1</v>
      </c>
      <c r="F18" s="2">
        <f t="shared" si="0"/>
        <v>3770.1</v>
      </c>
      <c r="G18" s="12">
        <f t="shared" si="4"/>
        <v>-3770.1</v>
      </c>
      <c r="H18" s="12">
        <f>F18*11%</f>
        <v>414.71100000000001</v>
      </c>
      <c r="I18" s="2"/>
      <c r="J18" s="2"/>
      <c r="K18" s="2"/>
      <c r="L18" s="2"/>
      <c r="M18" s="2"/>
      <c r="N18" s="2"/>
      <c r="O18" s="15">
        <f t="shared" si="3"/>
        <v>414.71100000000001</v>
      </c>
      <c r="P18" s="16">
        <f>O18*S$8+N18</f>
        <v>0</v>
      </c>
    </row>
    <row r="19" spans="1:16" ht="16.149999999999999" customHeight="1" x14ac:dyDescent="0.25">
      <c r="A19" s="17">
        <f>'Саврань І'!A15</f>
        <v>2</v>
      </c>
      <c r="B19" s="29">
        <f>'тарифна сітка'!E3</f>
        <v>3482.55</v>
      </c>
      <c r="C19" s="2">
        <v>11</v>
      </c>
      <c r="D19" s="23" t="str">
        <f>'Саврань І'!D15</f>
        <v>Приб.служб прим</v>
      </c>
      <c r="E19" s="75">
        <v>28.75</v>
      </c>
      <c r="F19" s="12">
        <f t="shared" si="0"/>
        <v>100123.3125</v>
      </c>
      <c r="G19" s="12">
        <f t="shared" si="4"/>
        <v>-100123.3125</v>
      </c>
      <c r="H19" s="12">
        <f>F19*10%</f>
        <v>10012.331250000001</v>
      </c>
      <c r="I19" s="2"/>
      <c r="J19" s="2"/>
      <c r="K19" s="2"/>
      <c r="L19" s="2"/>
      <c r="M19" s="2"/>
      <c r="N19" s="2"/>
      <c r="O19" s="15">
        <f t="shared" si="3"/>
        <v>10012.331250000001</v>
      </c>
      <c r="P19" s="16">
        <f>O19*S$8</f>
        <v>0</v>
      </c>
    </row>
    <row r="20" spans="1:16" ht="18" customHeight="1" x14ac:dyDescent="0.25">
      <c r="A20" s="17">
        <v>11</v>
      </c>
      <c r="B20" s="29">
        <f>'тарифна сітка'!F12</f>
        <v>6923.5650000000005</v>
      </c>
      <c r="C20" s="2">
        <v>12</v>
      </c>
      <c r="D20" s="23" t="s">
        <v>36</v>
      </c>
      <c r="E20" s="75">
        <v>13.95</v>
      </c>
      <c r="F20" s="12">
        <f t="shared" si="0"/>
        <v>96583.731750000006</v>
      </c>
      <c r="G20" s="12">
        <f t="shared" si="4"/>
        <v>-96583.731750000006</v>
      </c>
      <c r="H20" s="12"/>
      <c r="I20" s="12">
        <f>F20*0.05</f>
        <v>4829.1865875000003</v>
      </c>
      <c r="J20" s="2"/>
      <c r="K20" s="2"/>
      <c r="L20" s="2"/>
      <c r="M20" s="2">
        <f>F20*0.3</f>
        <v>28975.119525000002</v>
      </c>
      <c r="N20" s="12">
        <f>F20*0.05</f>
        <v>4829.1865875000003</v>
      </c>
      <c r="O20" s="15">
        <f>F20+G20+H20+J20+K20+L20+M20</f>
        <v>28975.119525000002</v>
      </c>
      <c r="P20" s="16">
        <f>O20*S$8+N20</f>
        <v>4829.1865875000003</v>
      </c>
    </row>
    <row r="21" spans="1:16" ht="16.149999999999999" customHeight="1" x14ac:dyDescent="0.25">
      <c r="A21" s="17">
        <v>6</v>
      </c>
      <c r="B21" s="29">
        <f>'тарифна сітка'!E7</f>
        <v>4632.75</v>
      </c>
      <c r="C21" s="2">
        <v>13</v>
      </c>
      <c r="D21" s="23" t="s">
        <v>68</v>
      </c>
      <c r="E21" s="75">
        <v>9</v>
      </c>
      <c r="F21" s="2">
        <f t="shared" si="0"/>
        <v>41694.75</v>
      </c>
      <c r="G21" s="12">
        <f t="shared" si="4"/>
        <v>-41694.75</v>
      </c>
      <c r="H21" s="12"/>
      <c r="I21" s="12"/>
      <c r="J21" s="2"/>
      <c r="K21" s="2"/>
      <c r="L21" s="2"/>
      <c r="M21" s="2"/>
      <c r="N21" s="12"/>
      <c r="O21" s="15">
        <f t="shared" si="3"/>
        <v>0</v>
      </c>
      <c r="P21" s="16">
        <f>O21*S$8</f>
        <v>0</v>
      </c>
    </row>
    <row r="22" spans="1:16" ht="16.899999999999999" customHeight="1" x14ac:dyDescent="0.25">
      <c r="A22" s="17">
        <v>11</v>
      </c>
      <c r="B22" s="29">
        <f>'тарифна сітка'!F12</f>
        <v>6923.5650000000005</v>
      </c>
      <c r="C22" s="2">
        <v>14</v>
      </c>
      <c r="D22" s="23" t="s">
        <v>69</v>
      </c>
      <c r="E22" s="75">
        <v>2</v>
      </c>
      <c r="F22" s="2">
        <f t="shared" si="0"/>
        <v>13847.130000000001</v>
      </c>
      <c r="G22" s="12">
        <f t="shared" si="4"/>
        <v>-13847.130000000001</v>
      </c>
      <c r="H22" s="12"/>
      <c r="I22" s="12">
        <f>F22*0.05</f>
        <v>692.3565000000001</v>
      </c>
      <c r="J22" s="2"/>
      <c r="K22" s="2"/>
      <c r="L22" s="2"/>
      <c r="M22" s="2">
        <f t="shared" ref="M22" si="6">F22*0.3</f>
        <v>4154.1390000000001</v>
      </c>
      <c r="N22" s="12">
        <f t="shared" ref="N22" si="7">F22*0.05</f>
        <v>692.3565000000001</v>
      </c>
      <c r="O22" s="15">
        <f t="shared" si="3"/>
        <v>4154.1390000000001</v>
      </c>
      <c r="P22" s="16">
        <f>O22*S$8</f>
        <v>0</v>
      </c>
    </row>
    <row r="23" spans="1:16" ht="13.9" customHeight="1" x14ac:dyDescent="0.25">
      <c r="A23" s="17">
        <f>'Саврань І'!A21</f>
        <v>2</v>
      </c>
      <c r="B23" s="29">
        <f>'тарифна сітка'!E3</f>
        <v>3482.55</v>
      </c>
      <c r="C23" s="2">
        <v>15</v>
      </c>
      <c r="D23" s="23" t="s">
        <v>70</v>
      </c>
      <c r="E23" s="75">
        <v>0.5</v>
      </c>
      <c r="F23" s="2">
        <f t="shared" si="0"/>
        <v>1741.2750000000001</v>
      </c>
      <c r="G23" s="12">
        <f t="shared" si="4"/>
        <v>-1741.2750000000001</v>
      </c>
      <c r="H23" s="12"/>
      <c r="I23" s="2"/>
      <c r="J23" s="2"/>
      <c r="K23" s="2"/>
      <c r="L23" s="2"/>
      <c r="M23" s="2"/>
      <c r="N23" s="2"/>
      <c r="O23" s="15">
        <f t="shared" si="3"/>
        <v>0</v>
      </c>
      <c r="P23" s="16">
        <f>O23*S$8</f>
        <v>0</v>
      </c>
    </row>
    <row r="24" spans="1:16" x14ac:dyDescent="0.25">
      <c r="A24" s="17">
        <f>'Саврань І'!A24</f>
        <v>2</v>
      </c>
      <c r="B24" s="29">
        <f>'тарифна сітка'!E3</f>
        <v>3482.55</v>
      </c>
      <c r="C24" s="2">
        <v>16</v>
      </c>
      <c r="D24" s="23" t="str">
        <f>'Саврань І'!D24</f>
        <v>Дврник</v>
      </c>
      <c r="E24" s="75">
        <v>1.75</v>
      </c>
      <c r="F24" s="12">
        <f t="shared" si="0"/>
        <v>6094.4625000000005</v>
      </c>
      <c r="G24" s="12">
        <f t="shared" si="4"/>
        <v>-6094.4625000000005</v>
      </c>
      <c r="H24" s="12"/>
      <c r="I24" s="2"/>
      <c r="J24" s="2"/>
      <c r="K24" s="2"/>
      <c r="L24" s="2"/>
      <c r="M24" s="2"/>
      <c r="N24" s="2"/>
      <c r="O24" s="15">
        <f t="shared" si="3"/>
        <v>0</v>
      </c>
      <c r="P24" s="16">
        <f>O24*S$8</f>
        <v>0</v>
      </c>
    </row>
    <row r="25" spans="1:16" x14ac:dyDescent="0.25">
      <c r="A25" s="17">
        <f>'Саврань І'!A26</f>
        <v>6</v>
      </c>
      <c r="B25" s="29">
        <f>'тарифна сітка'!E7</f>
        <v>4632.75</v>
      </c>
      <c r="C25" s="2">
        <v>17</v>
      </c>
      <c r="D25" s="23" t="str">
        <f>'Саврань І'!D26</f>
        <v xml:space="preserve">медсестра </v>
      </c>
      <c r="E25" s="75">
        <v>4.5</v>
      </c>
      <c r="F25" s="12">
        <f t="shared" si="0"/>
        <v>20847.375</v>
      </c>
      <c r="G25" s="12">
        <f t="shared" si="4"/>
        <v>-20847.375</v>
      </c>
      <c r="H25" s="12"/>
      <c r="I25" s="2"/>
      <c r="J25" s="2"/>
      <c r="K25" s="2"/>
      <c r="L25" s="2"/>
      <c r="M25" s="12"/>
      <c r="N25" s="2"/>
      <c r="O25" s="15">
        <f>F25+G25+H25+J25+K25+L25+M25</f>
        <v>0</v>
      </c>
      <c r="P25" s="16">
        <f>O25*S$8+N25</f>
        <v>0</v>
      </c>
    </row>
    <row r="26" spans="1:16" x14ac:dyDescent="0.25">
      <c r="A26" s="17">
        <f>'Саврань І'!A27</f>
        <v>5</v>
      </c>
      <c r="B26" s="29">
        <f>'тарифна сітка'!E6</f>
        <v>4345.2000000000007</v>
      </c>
      <c r="C26" s="2">
        <v>18</v>
      </c>
      <c r="D26" s="23" t="str">
        <f>'Саврань І'!D27</f>
        <v>Машиніст (Кочегар)</v>
      </c>
      <c r="E26" s="75">
        <v>35.5</v>
      </c>
      <c r="F26" s="2">
        <f>(E26*B26)</f>
        <v>154254.60000000003</v>
      </c>
      <c r="G26" s="12">
        <f t="shared" si="4"/>
        <v>-154254.60000000003</v>
      </c>
      <c r="H26" s="12">
        <f>F26*4%</f>
        <v>6170.1840000000011</v>
      </c>
      <c r="I26" s="2"/>
      <c r="J26" s="2"/>
      <c r="K26" s="12">
        <f>(B26*12/2002*35%*125)</f>
        <v>1139.4755244755245</v>
      </c>
      <c r="L26" s="2"/>
      <c r="M26" s="2"/>
      <c r="N26" s="2"/>
      <c r="O26" s="15">
        <f t="shared" si="3"/>
        <v>7309.6595244755254</v>
      </c>
      <c r="P26" s="16">
        <f>O26*S$9</f>
        <v>0</v>
      </c>
    </row>
    <row r="27" spans="1:16" x14ac:dyDescent="0.25">
      <c r="A27" s="17">
        <f>'Саврань І'!A28</f>
        <v>5</v>
      </c>
      <c r="B27" s="29">
        <f>'тарифна сітка'!E6</f>
        <v>4345.2000000000007</v>
      </c>
      <c r="C27" s="2">
        <v>19</v>
      </c>
      <c r="D27" s="23" t="s">
        <v>67</v>
      </c>
      <c r="E27" s="75">
        <v>0.5</v>
      </c>
      <c r="F27" s="2">
        <f t="shared" si="0"/>
        <v>2172.6000000000004</v>
      </c>
      <c r="G27" s="12">
        <f t="shared" si="4"/>
        <v>-2172.6000000000004</v>
      </c>
      <c r="H27" s="12">
        <f>F27*4%</f>
        <v>86.904000000000011</v>
      </c>
      <c r="I27" s="2"/>
      <c r="J27" s="2"/>
      <c r="K27" s="12">
        <f>(B27*12/2002*35%*125)</f>
        <v>1139.4755244755245</v>
      </c>
      <c r="L27" s="12"/>
      <c r="M27" s="12"/>
      <c r="N27" s="12"/>
      <c r="O27" s="15">
        <f t="shared" si="3"/>
        <v>1226.3795244755245</v>
      </c>
      <c r="P27" s="16">
        <f>O27*S$9</f>
        <v>0</v>
      </c>
    </row>
    <row r="28" spans="1:16" x14ac:dyDescent="0.25">
      <c r="A28" s="17">
        <f>'Саврань І'!A29</f>
        <v>5</v>
      </c>
      <c r="B28" s="29">
        <f>'тарифна сітка'!E6</f>
        <v>4345.2000000000007</v>
      </c>
      <c r="C28" s="2">
        <v>20</v>
      </c>
      <c r="D28" s="23" t="str">
        <f>'Саврань І'!D29</f>
        <v xml:space="preserve">Робітник </v>
      </c>
      <c r="E28" s="75">
        <v>9.75</v>
      </c>
      <c r="F28" s="2">
        <f t="shared" si="0"/>
        <v>42365.700000000004</v>
      </c>
      <c r="G28" s="12">
        <f t="shared" si="4"/>
        <v>-42365.700000000004</v>
      </c>
      <c r="H28" s="12"/>
      <c r="I28" s="2"/>
      <c r="J28" s="2"/>
      <c r="K28" s="2"/>
      <c r="L28" s="2"/>
      <c r="M28" s="2"/>
      <c r="N28" s="2"/>
      <c r="O28" s="15">
        <f t="shared" si="3"/>
        <v>0</v>
      </c>
      <c r="P28" s="16">
        <f>O28*S$8</f>
        <v>0</v>
      </c>
    </row>
    <row r="29" spans="1:16" x14ac:dyDescent="0.25">
      <c r="A29" s="17">
        <f>'Саврань І'!A35</f>
        <v>2</v>
      </c>
      <c r="B29" s="29">
        <f>'тарифна сітка'!E3</f>
        <v>3482.55</v>
      </c>
      <c r="C29" s="2">
        <v>21</v>
      </c>
      <c r="D29" s="23" t="str">
        <f>'Саврань І'!D35</f>
        <v>Комірник</v>
      </c>
      <c r="E29" s="75">
        <v>3</v>
      </c>
      <c r="F29" s="2">
        <f t="shared" si="0"/>
        <v>10447.650000000001</v>
      </c>
      <c r="G29" s="12">
        <f t="shared" si="4"/>
        <v>-10447.650000000001</v>
      </c>
      <c r="H29" s="12"/>
      <c r="I29" s="2"/>
      <c r="J29" s="12"/>
      <c r="K29" s="12"/>
      <c r="L29" s="12"/>
      <c r="M29" s="12"/>
      <c r="N29" s="12"/>
      <c r="O29" s="15">
        <f t="shared" si="3"/>
        <v>0</v>
      </c>
      <c r="P29" s="16">
        <f>O29*S$8</f>
        <v>0</v>
      </c>
    </row>
    <row r="30" spans="1:16" x14ac:dyDescent="0.25">
      <c r="A30" s="17">
        <f>'Саврань І'!A36</f>
        <v>8</v>
      </c>
      <c r="B30" s="29">
        <f>'тарифна сітка'!E9</f>
        <v>5239.7999999999993</v>
      </c>
      <c r="C30" s="2">
        <v>22</v>
      </c>
      <c r="D30" s="23" t="str">
        <f>'Саврань І'!D36</f>
        <v>Бібліотекар</v>
      </c>
      <c r="E30" s="75">
        <v>4.75</v>
      </c>
      <c r="F30" s="2">
        <f t="shared" si="0"/>
        <v>24889.049999999996</v>
      </c>
      <c r="G30" s="12">
        <f t="shared" si="4"/>
        <v>-24889.049999999996</v>
      </c>
      <c r="H30" s="12"/>
      <c r="I30" s="2">
        <f>F30*10%</f>
        <v>2488.9049999999997</v>
      </c>
      <c r="J30" s="12"/>
      <c r="K30" s="12"/>
      <c r="L30" s="12">
        <f>B30*10%</f>
        <v>523.9799999999999</v>
      </c>
      <c r="M30" s="12">
        <f>B30*30%</f>
        <v>1571.9399999999998</v>
      </c>
      <c r="N30" s="12"/>
      <c r="O30" s="15">
        <f t="shared" si="3"/>
        <v>2095.9199999999996</v>
      </c>
      <c r="P30" s="16">
        <f>O30*S$8+N30</f>
        <v>0</v>
      </c>
    </row>
    <row r="31" spans="1:16" ht="14.45" customHeight="1" x14ac:dyDescent="0.25">
      <c r="A31" s="17">
        <f>'Саврань І'!A37</f>
        <v>5</v>
      </c>
      <c r="B31" s="29">
        <f>'тарифна сітка'!E6</f>
        <v>4345.2000000000007</v>
      </c>
      <c r="C31" s="2">
        <v>23</v>
      </c>
      <c r="D31" s="23" t="str">
        <f>'Саврань І'!D37</f>
        <v>електромонтер</v>
      </c>
      <c r="E31" s="75">
        <v>1</v>
      </c>
      <c r="F31" s="2">
        <f t="shared" si="0"/>
        <v>4345.2000000000007</v>
      </c>
      <c r="G31" s="12"/>
      <c r="H31" s="12"/>
      <c r="I31" s="2"/>
      <c r="J31" s="12"/>
      <c r="K31" s="12"/>
      <c r="L31" s="12"/>
      <c r="M31" s="12"/>
      <c r="N31" s="12"/>
      <c r="O31" s="15">
        <f t="shared" si="3"/>
        <v>4345.2000000000007</v>
      </c>
      <c r="P31" s="16">
        <f>O31*S$8</f>
        <v>0</v>
      </c>
    </row>
    <row r="32" spans="1:16" x14ac:dyDescent="0.25">
      <c r="A32" s="17">
        <f>'Саврань І'!A38</f>
        <v>5</v>
      </c>
      <c r="B32" s="29">
        <f>'тарифна сітка'!E6</f>
        <v>4345.2000000000007</v>
      </c>
      <c r="C32" s="2">
        <v>24</v>
      </c>
      <c r="D32" s="23" t="str">
        <f>'Саврань І'!D38</f>
        <v>Лаборант</v>
      </c>
      <c r="E32" s="75">
        <v>1.5</v>
      </c>
      <c r="F32" s="2">
        <f t="shared" si="0"/>
        <v>6517.8000000000011</v>
      </c>
      <c r="G32" s="12">
        <f>(R$8*E32)-F32</f>
        <v>-6517.8000000000011</v>
      </c>
      <c r="H32" s="12"/>
      <c r="I32" s="2"/>
      <c r="J32" s="12"/>
      <c r="K32" s="12"/>
      <c r="L32" s="12"/>
      <c r="M32" s="12"/>
      <c r="N32" s="12"/>
      <c r="O32" s="15">
        <f t="shared" si="3"/>
        <v>0</v>
      </c>
      <c r="P32" s="16">
        <f>O32*S$8</f>
        <v>0</v>
      </c>
    </row>
    <row r="33" spans="2:19" ht="15.75" x14ac:dyDescent="0.25">
      <c r="C33" s="1"/>
      <c r="D33" s="21">
        <v>2111</v>
      </c>
      <c r="E33" s="18">
        <f>SUM(E9:E32)</f>
        <v>164.9</v>
      </c>
      <c r="F33" s="18">
        <f t="shared" ref="F33:P33" si="8">SUM(F9:F32)</f>
        <v>718522.43175000022</v>
      </c>
      <c r="G33" s="18">
        <f t="shared" si="8"/>
        <v>-705071.48175000027</v>
      </c>
      <c r="H33" s="18">
        <f t="shared" si="8"/>
        <v>25476.00345</v>
      </c>
      <c r="I33" s="18">
        <f t="shared" si="8"/>
        <v>8010.4480874999999</v>
      </c>
      <c r="J33" s="18">
        <f t="shared" si="8"/>
        <v>12172.95</v>
      </c>
      <c r="K33" s="18">
        <f t="shared" si="8"/>
        <v>2278.951048951049</v>
      </c>
      <c r="L33" s="18">
        <f t="shared" si="8"/>
        <v>523.9799999999999</v>
      </c>
      <c r="M33" s="18">
        <f t="shared" si="8"/>
        <v>34701.198525000007</v>
      </c>
      <c r="N33" s="18">
        <f t="shared" si="8"/>
        <v>5521.5430875000002</v>
      </c>
      <c r="O33" s="18">
        <f t="shared" si="8"/>
        <v>88604.033023951051</v>
      </c>
      <c r="P33" s="18">
        <f t="shared" si="8"/>
        <v>4829.1865875000003</v>
      </c>
      <c r="Q33" s="77"/>
      <c r="R33" s="77"/>
      <c r="S33" s="76"/>
    </row>
    <row r="34" spans="2:19" ht="18.75" x14ac:dyDescent="0.3">
      <c r="D34" s="5">
        <v>2120</v>
      </c>
      <c r="E34" s="19"/>
      <c r="F34" s="19"/>
      <c r="G34" s="19"/>
      <c r="H34" s="19"/>
      <c r="I34" s="19"/>
      <c r="J34" s="19"/>
      <c r="K34" s="19"/>
      <c r="L34" s="86" t="s">
        <v>82</v>
      </c>
      <c r="M34" s="86"/>
      <c r="N34" s="86"/>
      <c r="O34" s="19">
        <f t="shared" ref="O34:P34" si="9">O33*22%</f>
        <v>19492.88726526923</v>
      </c>
      <c r="P34" s="19">
        <f t="shared" si="9"/>
        <v>1062.4210492500001</v>
      </c>
      <c r="Q34" s="77"/>
      <c r="R34" s="27"/>
      <c r="S34" s="17"/>
    </row>
    <row r="35" spans="2:19" ht="19.5" thickBot="1" x14ac:dyDescent="0.35">
      <c r="D35" s="5"/>
      <c r="E35" s="19"/>
      <c r="F35" s="19"/>
      <c r="G35" s="19"/>
      <c r="H35" s="19"/>
      <c r="I35" s="19"/>
      <c r="J35" s="19"/>
      <c r="K35" s="19"/>
      <c r="L35" s="19"/>
      <c r="M35" s="19" t="s">
        <v>78</v>
      </c>
      <c r="N35" s="19"/>
      <c r="O35" s="19"/>
      <c r="P35" s="19">
        <v>107131</v>
      </c>
      <c r="Q35" s="77"/>
      <c r="R35" s="27"/>
      <c r="S35" s="17"/>
    </row>
    <row r="36" spans="2:19" s="22" customFormat="1" ht="18" customHeight="1" x14ac:dyDescent="0.25">
      <c r="D36" s="87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2:19" ht="13.5" customHeight="1" thickBot="1" x14ac:dyDescent="0.3">
      <c r="D37" s="88"/>
      <c r="P37" s="4"/>
    </row>
    <row r="38" spans="2:19" ht="15" customHeight="1" x14ac:dyDescent="0.25">
      <c r="L38" s="85" t="s">
        <v>79</v>
      </c>
      <c r="M38" s="85"/>
      <c r="N38" s="85"/>
      <c r="O38" t="s">
        <v>80</v>
      </c>
      <c r="P38">
        <v>2353593</v>
      </c>
    </row>
    <row r="39" spans="2:19" x14ac:dyDescent="0.25">
      <c r="L39" s="85"/>
      <c r="M39" s="85"/>
      <c r="N39" s="85"/>
      <c r="O39" t="s">
        <v>81</v>
      </c>
      <c r="P39">
        <v>439782</v>
      </c>
    </row>
    <row r="41" spans="2:19" x14ac:dyDescent="0.25">
      <c r="M41" t="s">
        <v>83</v>
      </c>
      <c r="O41" t="s">
        <v>80</v>
      </c>
      <c r="P41" s="4">
        <f>P33-P38</f>
        <v>-2348763.8134125001</v>
      </c>
    </row>
    <row r="42" spans="2:19" x14ac:dyDescent="0.25">
      <c r="O42" t="s">
        <v>81</v>
      </c>
      <c r="P42" s="4">
        <f>(P34+P35)-P39</f>
        <v>-331588.57895075</v>
      </c>
    </row>
    <row r="44" spans="2:19" ht="18.75" x14ac:dyDescent="0.3">
      <c r="B44" s="91" t="s">
        <v>86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</row>
  </sheetData>
  <mergeCells count="7">
    <mergeCell ref="M2:P4"/>
    <mergeCell ref="B44:P44"/>
    <mergeCell ref="L38:N39"/>
    <mergeCell ref="L34:N34"/>
    <mergeCell ref="F7:I7"/>
    <mergeCell ref="P7:P8"/>
    <mergeCell ref="D36:D37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тарифна сітка</vt:lpstr>
      <vt:lpstr>Саврань І</vt:lpstr>
      <vt:lpstr>Саврань ІІ</vt:lpstr>
      <vt:lpstr>'Саврань ІІ'!Область_печати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2024-12-12T09:49:27Z</dcterms:modified>
</cp:coreProperties>
</file>